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7.xml" ContentType="application/vnd.ms-office.chartcolorstyle+xml"/>
  <Override PartName="/xl/charts/style7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0" windowHeight="5910" firstSheet="1" activeTab="6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Ks famili" sheetId="6" r:id="rId6"/>
    <sheet name="Ks lifeform" sheetId="12" r:id="rId7"/>
    <sheet name="Indeks" sheetId="9" r:id="rId8"/>
    <sheet name="Kekayaan spesies" sheetId="7" r:id="rId9"/>
    <sheet name="1-5" sheetId="8" r:id="rId10"/>
    <sheet name="Ks Spesies" sheetId="10" r:id="rId1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<sst xmlns="http://schemas.openxmlformats.org/spreadsheetml/2006/main" count="3010" uniqueCount="192">
  <si>
    <t>Hari/Tanggal : Selasa 18 Juni 2019</t>
  </si>
  <si>
    <t xml:space="preserve">Jam mulai : </t>
  </si>
  <si>
    <t xml:space="preserve">Frame </t>
  </si>
  <si>
    <t>Genus</t>
  </si>
  <si>
    <t>Nama Spesies</t>
  </si>
  <si>
    <t>Jumlah Koloni</t>
  </si>
  <si>
    <t>Life form</t>
  </si>
  <si>
    <t>CM</t>
  </si>
  <si>
    <t>Favites</t>
  </si>
  <si>
    <t>sp 1</t>
  </si>
  <si>
    <t xml:space="preserve">Favites </t>
  </si>
  <si>
    <t>Porites</t>
  </si>
  <si>
    <t>Goniastrea</t>
  </si>
  <si>
    <t>Goniastrea favulus</t>
  </si>
  <si>
    <t>Favia</t>
  </si>
  <si>
    <t>Koordinat</t>
  </si>
  <si>
    <t>sp 2</t>
  </si>
  <si>
    <t xml:space="preserve">Favia </t>
  </si>
  <si>
    <t>Favites paraflexuosa</t>
  </si>
  <si>
    <t>CE</t>
  </si>
  <si>
    <t>Cyphastrea</t>
  </si>
  <si>
    <t>Acropora</t>
  </si>
  <si>
    <t>CB</t>
  </si>
  <si>
    <t>sp 3</t>
  </si>
  <si>
    <t>Goniasrea favulus</t>
  </si>
  <si>
    <t>Pocillophora</t>
  </si>
  <si>
    <t>Astreopora</t>
  </si>
  <si>
    <t>Goniasrea</t>
  </si>
  <si>
    <t>CS</t>
  </si>
  <si>
    <t>Montipora</t>
  </si>
  <si>
    <t>Favites pentagona</t>
  </si>
  <si>
    <t>sp 4</t>
  </si>
  <si>
    <t>Sp 2</t>
  </si>
  <si>
    <t>Sp 1</t>
  </si>
  <si>
    <t>Favites bestae</t>
  </si>
  <si>
    <t>Heliopora</t>
  </si>
  <si>
    <t>Platygyra</t>
  </si>
  <si>
    <t>Favites abdita</t>
  </si>
  <si>
    <t xml:space="preserve">Goniastrea </t>
  </si>
  <si>
    <t xml:space="preserve">CM </t>
  </si>
  <si>
    <t>Transek ke:</t>
  </si>
  <si>
    <t>S</t>
  </si>
  <si>
    <t>E</t>
  </si>
  <si>
    <t>8 54'37.061''</t>
  </si>
  <si>
    <t>116 17'57.997"</t>
  </si>
  <si>
    <t xml:space="preserve">Transek ke: </t>
  </si>
  <si>
    <t>8 54'35.840''</t>
  </si>
  <si>
    <t>116 17'51.738''</t>
  </si>
  <si>
    <t>8 54'34.265''</t>
  </si>
  <si>
    <t>116 17'49.748''</t>
  </si>
  <si>
    <t>Hari/Tanggal : Jum'at 7 Juni 2019</t>
  </si>
  <si>
    <t>8 54'36.449''</t>
  </si>
  <si>
    <t>116 17'56.120''</t>
  </si>
  <si>
    <t>16,00</t>
  </si>
  <si>
    <t>Hari/Tanggal : Sabtu, 8 Juni 2019</t>
  </si>
  <si>
    <t>Goniastrea aspera</t>
  </si>
  <si>
    <t xml:space="preserve">Goniatrea </t>
  </si>
  <si>
    <t>Symphyllia</t>
  </si>
  <si>
    <t>Symphyllia agaricia</t>
  </si>
  <si>
    <t>Hydnopora</t>
  </si>
  <si>
    <t>Porites solida</t>
  </si>
  <si>
    <t>Koordinat:</t>
  </si>
  <si>
    <t>Goniopora</t>
  </si>
  <si>
    <t xml:space="preserve">CE </t>
  </si>
  <si>
    <t>Acropora crateriformis</t>
  </si>
  <si>
    <t>Species</t>
  </si>
  <si>
    <t>Jml Koloni</t>
  </si>
  <si>
    <t>sp</t>
  </si>
  <si>
    <t>Favites sp 1</t>
  </si>
  <si>
    <t>Pocillophora meandrina</t>
  </si>
  <si>
    <t>8 54'035.834''</t>
  </si>
  <si>
    <t>116 17'55.416''</t>
  </si>
  <si>
    <t>08°54'35"</t>
  </si>
  <si>
    <t>116°17'57"</t>
  </si>
  <si>
    <t>116°17'56"</t>
  </si>
  <si>
    <t>116°17'55"</t>
  </si>
  <si>
    <t>116°17'52"</t>
  </si>
  <si>
    <t>116°17'51"</t>
  </si>
  <si>
    <t xml:space="preserve">Goniopora </t>
  </si>
  <si>
    <t>pi</t>
  </si>
  <si>
    <t>pilnpi</t>
  </si>
  <si>
    <t>lnpi</t>
  </si>
  <si>
    <t>Jumlah</t>
  </si>
  <si>
    <t>H' (Indeks keanekaragaman)</t>
  </si>
  <si>
    <t>E (Indeks Keseragaman)</t>
  </si>
  <si>
    <t>C (Indeks Dominansi)</t>
  </si>
  <si>
    <t xml:space="preserve">No </t>
  </si>
  <si>
    <t>C</t>
  </si>
  <si>
    <t>Famili</t>
  </si>
  <si>
    <t>Acroporidae</t>
  </si>
  <si>
    <t>Pocilloidae</t>
  </si>
  <si>
    <t>Faviidae</t>
  </si>
  <si>
    <t>Meandrinidae</t>
  </si>
  <si>
    <t>Poritidae</t>
  </si>
  <si>
    <t>Mussidae</t>
  </si>
  <si>
    <t>Pocilloporidae</t>
  </si>
  <si>
    <t>Helioporidae</t>
  </si>
  <si>
    <t>Heliopora coerulea</t>
  </si>
  <si>
    <t>No</t>
  </si>
  <si>
    <t>Jml koloni</t>
  </si>
  <si>
    <t>pi^2</t>
  </si>
  <si>
    <t>Acropora sp 1</t>
  </si>
  <si>
    <t>Astreopora sp 1</t>
  </si>
  <si>
    <t>Cyphastrea sp 1</t>
  </si>
  <si>
    <t>Cyphastrea sp 2</t>
  </si>
  <si>
    <t>Jumlah spesies</t>
  </si>
  <si>
    <t>Transek 1</t>
  </si>
  <si>
    <t>Transek 2</t>
  </si>
  <si>
    <t>Transek</t>
  </si>
  <si>
    <t>Transek 3</t>
  </si>
  <si>
    <t>Transek 4</t>
  </si>
  <si>
    <t>Transek 5</t>
  </si>
  <si>
    <t>Acropora sp 2</t>
  </si>
  <si>
    <t>Astreopora sp 2</t>
  </si>
  <si>
    <t>Montipora sp</t>
  </si>
  <si>
    <t>Favites sp 2</t>
  </si>
  <si>
    <t>Favites sp 3</t>
  </si>
  <si>
    <t>Favites sp 4</t>
  </si>
  <si>
    <t>Favia sp 1</t>
  </si>
  <si>
    <t>Favia sp 2</t>
  </si>
  <si>
    <t>Favia sp 3</t>
  </si>
  <si>
    <t>Favia sp 4</t>
  </si>
  <si>
    <t>Platygyra sp</t>
  </si>
  <si>
    <t>Hydnopora sp</t>
  </si>
  <si>
    <t>Pocillophora sp</t>
  </si>
  <si>
    <t>Goniopora sp</t>
  </si>
  <si>
    <t>Porites sp</t>
  </si>
  <si>
    <t>Indeks keanekaragaman</t>
  </si>
  <si>
    <t xml:space="preserve">Rata rata </t>
  </si>
  <si>
    <t>Indeks keseragaman (E)</t>
  </si>
  <si>
    <t>Kuadrat ke-</t>
  </si>
  <si>
    <t>Jlm ind</t>
  </si>
  <si>
    <t>Jml sp</t>
  </si>
  <si>
    <t>Countif</t>
  </si>
  <si>
    <t>Kekayaan Spesies</t>
  </si>
  <si>
    <t>Rata-rata</t>
  </si>
  <si>
    <t>SD</t>
  </si>
  <si>
    <t>Jmlah</t>
  </si>
  <si>
    <t>Jml ind</t>
  </si>
  <si>
    <t>Jmlah sp</t>
  </si>
  <si>
    <t>T1</t>
  </si>
  <si>
    <t>T2</t>
  </si>
  <si>
    <t>T3</t>
  </si>
  <si>
    <t>T4</t>
  </si>
  <si>
    <t>T5</t>
  </si>
  <si>
    <t>Total</t>
  </si>
  <si>
    <t>Rerata</t>
  </si>
  <si>
    <t xml:space="preserve">Total </t>
  </si>
  <si>
    <t>TOTAL</t>
  </si>
  <si>
    <t>Rata-rata Kekayaan Spesies Echinodermata Antar Kuadrat di Pantai Pewaringan dan Pantai Lenggolong. Batang Galat Menunjukkan Standar Deviasi.</t>
  </si>
  <si>
    <t>Perbandingan jumlah koloni/transek</t>
  </si>
  <si>
    <t>Indeks Keanekaragaman (H’)</t>
  </si>
  <si>
    <t>Indeks Keseragaman (J)</t>
  </si>
  <si>
    <t>Indeks Dominansi (C)</t>
  </si>
  <si>
    <t>0,11</t>
  </si>
  <si>
    <t>2,6</t>
  </si>
  <si>
    <t>0,76</t>
  </si>
  <si>
    <t>Lainnya</t>
  </si>
  <si>
    <t>ACD</t>
  </si>
  <si>
    <t>CHL</t>
  </si>
  <si>
    <t>Bentuk Pertumbuhan</t>
  </si>
  <si>
    <t>T1-t5</t>
  </si>
  <si>
    <t xml:space="preserve">sp </t>
  </si>
  <si>
    <t>Psacommora</t>
  </si>
  <si>
    <t>Sideratreidae</t>
  </si>
  <si>
    <t>sp1</t>
  </si>
  <si>
    <t>sp2</t>
  </si>
  <si>
    <t>abdita</t>
  </si>
  <si>
    <t>bestae</t>
  </si>
  <si>
    <t>paraflexuosa</t>
  </si>
  <si>
    <t>pentagona</t>
  </si>
  <si>
    <t>aspera</t>
  </si>
  <si>
    <t>favulus</t>
  </si>
  <si>
    <t>coerulea</t>
  </si>
  <si>
    <t>agaricia</t>
  </si>
  <si>
    <t>meandrina</t>
  </si>
  <si>
    <t>solida</t>
  </si>
  <si>
    <t>humilis</t>
  </si>
  <si>
    <t>Gonistrea sp</t>
  </si>
  <si>
    <t xml:space="preserve">Bentuk pertumbuhan </t>
  </si>
  <si>
    <t>Kode</t>
  </si>
  <si>
    <t>Jumlah Bentuk Pertumbuhan</t>
  </si>
  <si>
    <t>Persen Bentuk Pertumbuhan (%)</t>
  </si>
  <si>
    <t>Goniastrea sp.</t>
  </si>
  <si>
    <t>G. favulus</t>
  </si>
  <si>
    <t>F. abdita</t>
  </si>
  <si>
    <t>F. pentagona</t>
  </si>
  <si>
    <t>Siderastreidae</t>
  </si>
  <si>
    <t>Acropora Menjari</t>
  </si>
  <si>
    <t>Submasif</t>
  </si>
  <si>
    <t>Mengerak</t>
  </si>
  <si>
    <t>Masif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</si>
</sst>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"/>
    <numFmt numFmtId="167" formatCode="0.0"/>
    <numFmt numFmtId="168" formatCode="0.00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231F2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231F20"/>
      <name val="Times New Roman"/>
      <family val="1"/>
    </font>
    <font>
      <sz val="10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i/>
      <sz val="10"/>
      <color theme="1"/>
      <name val="Times New Roman"/>
      <family val="1"/>
    </font>
    <font>
      <sz val="9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rgb="FF000000"/>
      <name val="Times New Roman"/>
      <family val="2"/>
    </font>
    <font>
      <i/>
      <sz val="9"/>
      <color rgb="FF000000"/>
      <name val="Times New Roman"/>
      <family val="2"/>
    </font>
    <font>
      <i/>
      <sz val="9"/>
      <color theme="1" tint="0.35"/>
      <name val="Times New Roman"/>
      <family val="2"/>
    </font>
    <font>
      <sz val="10"/>
      <color theme="1" tint="0.35"/>
      <name val="Times New Roman"/>
      <family val="2"/>
    </font>
    <font>
      <sz val="9"/>
      <color theme="1" tint="0.35"/>
      <name val="Times New Roman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1" xfId="0" applyBorder="1"/>
    <xf numFmtId="20" fontId="2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20" fontId="2" fillId="0" borderId="0" xfId="0" applyNumberFormat="1" applyFont="1" applyBorder="1"/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/>
    <xf numFmtId="0" fontId="2" fillId="0" borderId="1" xfId="0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2" fontId="2" fillId="0" borderId="0" xfId="0" applyNumberFormat="1" applyFont="1" applyBorder="1"/>
    <xf numFmtId="0" fontId="2" fillId="0" borderId="0" xfId="0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3" xfId="0" applyFont="1" applyBorder="1"/>
    <xf numFmtId="0" fontId="0" fillId="0" borderId="4" xfId="0" applyBorder="1"/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/>
    <xf numFmtId="166" fontId="2" fillId="0" borderId="0" xfId="0" applyNumberFormat="1" applyFont="1"/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6" fontId="2" fillId="0" borderId="0" xfId="0" applyNumberFormat="1" applyFont="1" applyBorder="1"/>
    <xf numFmtId="165" fontId="2" fillId="0" borderId="0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/>
    <xf numFmtId="167" fontId="2" fillId="2" borderId="0" xfId="0" applyNumberFormat="1" applyFont="1" applyFill="1" applyBorder="1"/>
    <xf numFmtId="0" fontId="2" fillId="3" borderId="0" xfId="0" applyFont="1" applyFill="1" applyBorder="1" applyAlignment="1">
      <alignment/>
    </xf>
    <xf numFmtId="0" fontId="2" fillId="3" borderId="0" xfId="0" applyFont="1" applyFill="1" applyBorder="1"/>
    <xf numFmtId="2" fontId="2" fillId="3" borderId="0" xfId="0" applyNumberFormat="1" applyFont="1" applyFill="1" applyBorder="1"/>
    <xf numFmtId="0" fontId="2" fillId="4" borderId="5" xfId="0" applyFont="1" applyFill="1" applyBorder="1" applyAlignment="1">
      <alignment/>
    </xf>
    <xf numFmtId="0" fontId="2" fillId="4" borderId="5" xfId="0" applyFont="1" applyFill="1" applyBorder="1"/>
    <xf numFmtId="2" fontId="2" fillId="4" borderId="5" xfId="0" applyNumberFormat="1" applyFont="1" applyFill="1" applyBorder="1"/>
    <xf numFmtId="0" fontId="2" fillId="0" borderId="4" xfId="0" applyFont="1" applyBorder="1"/>
    <xf numFmtId="165" fontId="2" fillId="0" borderId="4" xfId="0" applyNumberFormat="1" applyFont="1" applyBorder="1"/>
    <xf numFmtId="0" fontId="2" fillId="0" borderId="0" xfId="0" applyFont="1" applyFill="1" applyBorder="1" applyAlignment="1">
      <alignment horizontal="left"/>
    </xf>
    <xf numFmtId="2" fontId="0" fillId="0" borderId="0" xfId="0" applyNumberFormat="1" applyBorder="1"/>
    <xf numFmtId="164" fontId="0" fillId="0" borderId="0" xfId="0" applyNumberForma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2" fontId="0" fillId="0" borderId="4" xfId="0" applyNumberFormat="1" applyBorder="1"/>
    <xf numFmtId="164" fontId="0" fillId="0" borderId="4" xfId="0" applyNumberFormat="1" applyBorder="1"/>
    <xf numFmtId="0" fontId="2" fillId="0" borderId="4" xfId="0" applyFont="1" applyFill="1" applyBorder="1"/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/>
    <xf numFmtId="2" fontId="2" fillId="0" borderId="4" xfId="0" applyNumberFormat="1" applyFont="1" applyBorder="1"/>
    <xf numFmtId="166" fontId="2" fillId="0" borderId="4" xfId="0" applyNumberFormat="1" applyFont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9" fillId="0" borderId="0" xfId="0" applyFont="1"/>
    <xf numFmtId="0" fontId="8" fillId="4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0" fontId="2" fillId="0" borderId="6" xfId="0" applyFont="1" applyBorder="1"/>
    <xf numFmtId="0" fontId="0" fillId="0" borderId="7" xfId="0" applyBorder="1"/>
    <xf numFmtId="9" fontId="0" fillId="0" borderId="0" xfId="15" applyFont="1"/>
    <xf numFmtId="9" fontId="0" fillId="0" borderId="0" xfId="0" applyNumberFormat="1"/>
    <xf numFmtId="167" fontId="2" fillId="0" borderId="4" xfId="0" applyNumberFormat="1" applyFont="1" applyBorder="1"/>
    <xf numFmtId="0" fontId="1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top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/>
    <xf numFmtId="0" fontId="0" fillId="2" borderId="0" xfId="0" applyFill="1"/>
    <xf numFmtId="0" fontId="16" fillId="0" borderId="0" xfId="0" applyFont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Fill="1"/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/>
    <xf numFmtId="167" fontId="0" fillId="0" borderId="0" xfId="0" applyNumberFormat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2" fontId="0" fillId="0" borderId="0" xfId="0" applyNumberFormat="1"/>
    <xf numFmtId="9" fontId="0" fillId="0" borderId="0" xfId="15" applyFont="1" applyBorder="1"/>
    <xf numFmtId="9" fontId="0" fillId="0" borderId="0" xfId="0" applyNumberFormat="1" applyBorder="1"/>
    <xf numFmtId="9" fontId="0" fillId="0" borderId="0" xfId="15" applyNumberFormat="1" applyFont="1"/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167" fontId="8" fillId="3" borderId="3" xfId="0" applyNumberFormat="1" applyFont="1" applyFill="1" applyBorder="1" applyAlignment="1">
      <alignment horizontal="center"/>
    </xf>
    <xf numFmtId="167" fontId="8" fillId="2" borderId="3" xfId="0" applyNumberFormat="1" applyFont="1" applyFill="1" applyBorder="1" applyAlignment="1">
      <alignment horizontal="center"/>
    </xf>
    <xf numFmtId="167" fontId="8" fillId="4" borderId="3" xfId="0" applyNumberFormat="1" applyFont="1" applyFill="1" applyBorder="1" applyAlignment="1">
      <alignment horizontal="center"/>
    </xf>
    <xf numFmtId="2" fontId="8" fillId="3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9" fontId="0" fillId="0" borderId="0" xfId="15" applyFont="1" applyAlignment="1">
      <alignment horizontal="center"/>
    </xf>
    <xf numFmtId="0" fontId="2" fillId="0" borderId="5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Fill="1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2" fontId="2" fillId="0" borderId="0" xfId="0" applyNumberFormat="1" applyFont="1" applyFill="1" applyBorder="1"/>
    <xf numFmtId="9" fontId="0" fillId="0" borderId="3" xfId="0" applyNumberFormat="1" applyBorder="1"/>
    <xf numFmtId="0" fontId="2" fillId="0" borderId="4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'Ks famili'!$AB$121</c:f>
              <c:strCache>
                <c:ptCount val="1"/>
                <c:pt idx="0">
                  <c:v>Faviidae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8"/>
                  <c:y val="0.121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8"/>
                  <c:y val="0.138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8"/>
                  <c:y val="0.077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575"/>
                  <c:y val="0.147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575"/>
                  <c:y val="0.14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8"/>
                  <c:y val="0.117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famili'!$AC$121:$AH$121</c:f>
              <c:numCache/>
            </c:numRef>
          </c:val>
        </c:ser>
        <c:ser>
          <c:idx val="1"/>
          <c:order val="1"/>
          <c:tx>
            <c:strRef>
              <c:f>'Ks famili'!$AB$122</c:f>
              <c:strCache>
                <c:ptCount val="1"/>
                <c:pt idx="0">
                  <c:v>Poritidae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famili'!$AC$122:$AH$122</c:f>
              <c:numCache/>
            </c:numRef>
          </c:val>
        </c:ser>
        <c:ser>
          <c:idx val="2"/>
          <c:order val="2"/>
          <c:tx>
            <c:strRef>
              <c:f>'Ks famili'!$AB$123</c:f>
              <c:strCache>
                <c:ptCount val="1"/>
                <c:pt idx="0">
                  <c:v>Acroporidae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famili'!$AC$123:$AH$123</c:f>
              <c:numCache/>
            </c:numRef>
          </c:val>
        </c:ser>
        <c:ser>
          <c:idx val="3"/>
          <c:order val="3"/>
          <c:tx>
            <c:strRef>
              <c:f>'Ks famili'!$AB$124</c:f>
              <c:strCache>
                <c:ptCount val="1"/>
                <c:pt idx="0">
                  <c:v>Mussidae</c:v>
                </c:pt>
              </c:strCache>
            </c:strRef>
          </c:tx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famili'!$AC$124:$AH$124</c:f>
              <c:numCache/>
            </c:numRef>
          </c:val>
        </c:ser>
        <c:ser>
          <c:idx val="4"/>
          <c:order val="4"/>
          <c:tx>
            <c:strRef>
              <c:f>'Ks famili'!$AB$125</c:f>
              <c:strCache>
                <c:ptCount val="1"/>
                <c:pt idx="0">
                  <c:v>Pocilloporidae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famili'!$AC$125:$AH$125</c:f>
              <c:numCache/>
            </c:numRef>
          </c:val>
        </c:ser>
        <c:ser>
          <c:idx val="5"/>
          <c:order val="5"/>
          <c:tx>
            <c:strRef>
              <c:f>'Ks famili'!$AB$126</c:f>
              <c:strCache>
                <c:ptCount val="1"/>
                <c:pt idx="0">
                  <c:v>Helioporidae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famili'!$AC$126:$AH$126</c:f>
              <c:numCache/>
            </c:numRef>
          </c:val>
        </c:ser>
        <c:ser>
          <c:idx val="6"/>
          <c:order val="6"/>
          <c:tx>
            <c:strRef>
              <c:f>'Ks famili'!$AB$127</c:f>
              <c:strCache>
                <c:ptCount val="1"/>
                <c:pt idx="0">
                  <c:v>Meandrinidae</c:v>
                </c:pt>
              </c:strCache>
            </c:strRef>
          </c:tx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famili'!$AC$127:$AH$127</c:f>
              <c:numCache/>
            </c:numRef>
          </c:val>
        </c:ser>
        <c:ser>
          <c:idx val="7"/>
          <c:order val="7"/>
          <c:tx>
            <c:strRef>
              <c:f>'Ks famili'!$AB$128</c:f>
              <c:strCache>
                <c:ptCount val="1"/>
                <c:pt idx="0">
                  <c:v>Siderastreidae</c:v>
                </c:pt>
              </c:strCache>
            </c:strRef>
          </c:tx>
          <c:spPr>
            <a:pattFill prst="lg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famili'!$AC$128:$AH$128</c:f>
              <c:numCache/>
            </c:numRef>
          </c:val>
        </c:ser>
        <c:overlap val="100"/>
        <c:axId val="65095611"/>
        <c:axId val="48989588"/>
      </c:barChart>
      <c:catAx>
        <c:axId val="65095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Transek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989588"/>
        <c:crosses val="autoZero"/>
        <c:auto val="1"/>
        <c:lblOffset val="100"/>
        <c:noMultiLvlLbl val="0"/>
      </c:catAx>
      <c:valAx>
        <c:axId val="48989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Komposisi Famili Karang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0956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explosion val="16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explosion val="2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explosion val="2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explosion val="18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explosion val="16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'Ks famili'!$AB$121:$AB$128</c:f>
              <c:strCache/>
            </c:strRef>
          </c:cat>
          <c:val>
            <c:numRef>
              <c:f>'Ks famili'!$AH$121:$AH$128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25"/>
          <c:y val="0.20625"/>
          <c:w val="0.345"/>
          <c:h val="0.57475"/>
        </c:manualLayout>
      </c:layout>
      <c:pieChart>
        <c:varyColors val="1"/>
        <c:ser>
          <c:idx val="0"/>
          <c:order val="0"/>
          <c:tx>
            <c:strRef>
              <c:f>'Ks lifeform'!$E$1</c:f>
              <c:strCache>
                <c:ptCount val="1"/>
                <c:pt idx="0">
                  <c:v>Persen Bentuk Pertumbuhan (%)</c:v>
                </c:pt>
              </c:strCache>
            </c:strRef>
          </c:tx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explosion val="24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0.01675"/>
                  <c:y val="0.01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425"/>
                  <c:y val="0.05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'Ks lifeform'!$B$2:$B$6</c:f>
              <c:strCache/>
            </c:strRef>
          </c:cat>
          <c:val>
            <c:numRef>
              <c:f>'Ks lifeform'!$E$2:$E$6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'Kekayaan spesies'!$AM$2</c:f>
              <c:strCache>
                <c:ptCount val="1"/>
                <c:pt idx="0">
                  <c:v>Rata-rata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825"/>
                  <c:y val="-0.00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075"/>
                  <c:y val="-0.00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4"/>
                  <c:y val="0.008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075"/>
                  <c:y val="-0.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385"/>
                  <c:y val="-0.04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4625"/>
                  <c:y val="-0.00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'Kekayaan spesies'!$AN$3:$AN$8</c:f>
                <c:numCache/>
              </c:numRef>
            </c:plus>
            <c:minus>
              <c:numRef>
                <c:f>'Kekayaan spesies'!$AN$3:$AN$8</c:f>
                <c:numCache/>
              </c:numRef>
            </c:minus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strRef>
              <c:f>'Kekayaan spesies'!$AL$3:$AL$8</c:f>
              <c:strCache/>
            </c:strRef>
          </c:cat>
          <c:val>
            <c:numRef>
              <c:f>'Kekayaan spesies'!$AM$3:$AM$8</c:f>
              <c:numCache/>
            </c:numRef>
          </c:val>
        </c:ser>
        <c:axId val="38253109"/>
        <c:axId val="8733662"/>
      </c:barChart>
      <c:catAx>
        <c:axId val="38253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Transek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733662"/>
        <c:crosses val="autoZero"/>
        <c:auto val="1"/>
        <c:lblOffset val="100"/>
        <c:noMultiLvlLbl val="0"/>
      </c:catAx>
      <c:valAx>
        <c:axId val="8733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Kekayaan</a:t>
                </a: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 Spesies Katang (Spesies/25,52 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253109"/>
        <c:crosses val="autoZero"/>
        <c:crossBetween val="between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'1-5'!$V$4</c:f>
              <c:strCache>
                <c:ptCount val="1"/>
                <c:pt idx="0">
                  <c:v>ACD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'1-5'!$W$4:$AB$4</c:f>
              <c:numCache/>
            </c:numRef>
          </c:val>
        </c:ser>
        <c:ser>
          <c:idx val="2"/>
          <c:order val="1"/>
          <c:tx>
            <c:strRef>
              <c:f>'1-5'!$V$5</c:f>
              <c:strCache>
                <c:ptCount val="1"/>
                <c:pt idx="0">
                  <c:v>CS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'1-5'!$W$5:$AB$5</c:f>
              <c:numCache/>
            </c:numRef>
          </c:val>
        </c:ser>
        <c:ser>
          <c:idx val="3"/>
          <c:order val="2"/>
          <c:tx>
            <c:strRef>
              <c:f>'1-5'!$V$6</c:f>
              <c:strCache>
                <c:ptCount val="1"/>
                <c:pt idx="0">
                  <c:v>CE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'1-5'!$W$6:$AB$6</c:f>
              <c:numCache/>
            </c:numRef>
          </c:val>
        </c:ser>
        <c:ser>
          <c:idx val="4"/>
          <c:order val="3"/>
          <c:tx>
            <c:strRef>
              <c:f>'1-5'!$V$7</c:f>
              <c:strCache>
                <c:ptCount val="1"/>
                <c:pt idx="0">
                  <c:v>CM</c:v>
                </c:pt>
              </c:strCache>
            </c:strRef>
          </c:tx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55"/>
                  <c:y val="-0.013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825"/>
                  <c:y val="0.004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55"/>
                  <c:y val="-0.004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825"/>
                  <c:y val="0.004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'1-5'!$W$7:$AB$7</c:f>
              <c:numCache/>
            </c:numRef>
          </c:val>
        </c:ser>
        <c:ser>
          <c:idx val="5"/>
          <c:order val="4"/>
          <c:tx>
            <c:strRef>
              <c:f>'1-5'!$V$8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'1-5'!$W$8:$AB$8</c:f>
              <c:numCache/>
            </c:numRef>
          </c:val>
        </c:ser>
        <c:overlap val="100"/>
        <c:axId val="11494095"/>
        <c:axId val="36337992"/>
      </c:barChart>
      <c:catAx>
        <c:axId val="1149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rPr>
                  <a:t>Transek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337992"/>
        <c:crosses val="autoZero"/>
        <c:auto val="1"/>
        <c:lblOffset val="100"/>
        <c:noMultiLvlLbl val="0"/>
      </c:catAx>
      <c:valAx>
        <c:axId val="36337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Komposisi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 bentuk pertumbuhan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4940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'Ks Spesies'!$Q$3</c:f>
              <c:strCache>
                <c:ptCount val="1"/>
                <c:pt idx="0">
                  <c:v>Favites paraflexuosa</c:v>
                </c:pt>
              </c:strCache>
            </c:strRef>
          </c:tx>
          <c:spPr>
            <a:pattFill prst="dk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8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47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675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67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4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67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Spesies'!$R$3:$W$3</c:f>
              <c:numCache/>
            </c:numRef>
          </c:val>
        </c:ser>
        <c:ser>
          <c:idx val="1"/>
          <c:order val="1"/>
          <c:tx>
            <c:strRef>
              <c:f>'Ks Spesies'!$Q$4</c:f>
              <c:strCache>
                <c:ptCount val="1"/>
                <c:pt idx="0">
                  <c:v>Goniastrea sp.</c:v>
                </c:pt>
              </c:strCache>
            </c:strRef>
          </c:tx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.05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Spesies'!$R$4:$W$4</c:f>
              <c:numCache/>
            </c:numRef>
          </c:val>
        </c:ser>
        <c:ser>
          <c:idx val="2"/>
          <c:order val="2"/>
          <c:tx>
            <c:strRef>
              <c:f>'Ks Spesies'!$Q$5</c:f>
              <c:strCache>
                <c:ptCount val="1"/>
                <c:pt idx="0">
                  <c:v>G. favulus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.0595"/>
                  <c:y val="-0.00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Spesies'!$R$5:$W$5</c:f>
              <c:numCache/>
            </c:numRef>
          </c:val>
        </c:ser>
        <c:ser>
          <c:idx val="3"/>
          <c:order val="3"/>
          <c:tx>
            <c:strRef>
              <c:f>'Ks Spesies'!$Q$6</c:f>
              <c:strCache>
                <c:ptCount val="1"/>
                <c:pt idx="0">
                  <c:v>F. abdita</c:v>
                </c:pt>
              </c:strCache>
            </c:strRef>
          </c:tx>
          <c:spPr>
            <a:pattFill prst="sm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59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Spesies'!$R$6:$W$6</c:f>
              <c:numCache/>
            </c:numRef>
          </c:val>
        </c:ser>
        <c:ser>
          <c:idx val="4"/>
          <c:order val="4"/>
          <c:tx>
            <c:strRef>
              <c:f>'Ks Spesies'!$Q$7</c:f>
              <c:strCache>
                <c:ptCount val="1"/>
                <c:pt idx="0">
                  <c:v>F. pentagona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54"/>
                  <c:y val="0.004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Spesies'!$R$7:$W$7</c:f>
              <c:numCache/>
            </c:numRef>
          </c:val>
        </c:ser>
        <c:ser>
          <c:idx val="5"/>
          <c:order val="5"/>
          <c:tx>
            <c:strRef>
              <c:f>'Ks Spesies'!$Q$8</c:f>
              <c:strCache>
                <c:ptCount val="1"/>
                <c:pt idx="0">
                  <c:v>Lainnya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59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Spesies'!$R$8:$W$8</c:f>
              <c:numCache/>
            </c:numRef>
          </c:val>
        </c:ser>
        <c:overlap val="100"/>
        <c:gapWidth val="182"/>
        <c:axId val="58606473"/>
        <c:axId val="57696210"/>
      </c:barChart>
      <c:catAx>
        <c:axId val="58606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696210"/>
        <c:crosses val="autoZero"/>
        <c:auto val="1"/>
        <c:lblOffset val="100"/>
        <c:noMultiLvlLbl val="0"/>
      </c:catAx>
      <c:valAx>
        <c:axId val="57696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Komposisi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 Spesies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6064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"/>
          <c:y val="0.8315"/>
          <c:w val="0.783"/>
          <c:h val="0.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Spesies'!$Q$3:$Q$8</c:f>
              <c:strCache/>
            </c:strRef>
          </c:cat>
          <c:val>
            <c:numRef>
              <c:f>'Ks Spesies'!$W$3:$W$8</c:f>
              <c:numCache/>
            </c:numRef>
          </c:val>
        </c:ser>
        <c:overlap val="-27"/>
        <c:gapWidth val="219"/>
        <c:axId val="49503843"/>
        <c:axId val="42881404"/>
      </c:barChart>
      <c:catAx>
        <c:axId val="49503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1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881404"/>
        <c:crosses val="autoZero"/>
        <c:auto val="1"/>
        <c:lblOffset val="100"/>
        <c:noMultiLvlLbl val="0"/>
      </c:catAx>
      <c:valAx>
        <c:axId val="42881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Komposisi</a:t>
                </a: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 spesies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50384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457200</xdr:colOff>
      <xdr:row>132</xdr:row>
      <xdr:rowOff>19050</xdr:rowOff>
    </xdr:from>
    <xdr:to>
      <xdr:col>33</xdr:col>
      <xdr:colOff>476250</xdr:colOff>
      <xdr:row>146</xdr:row>
      <xdr:rowOff>104775</xdr:rowOff>
    </xdr:to>
    <xdr:graphicFrame macro="">
      <xdr:nvGraphicFramePr>
        <xdr:cNvPr id="8" name="Chart 7"/>
        <xdr:cNvGraphicFramePr/>
      </xdr:nvGraphicFramePr>
      <xdr:xfrm>
        <a:off x="20564475" y="25755600"/>
        <a:ext cx="5686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123825</xdr:colOff>
      <xdr:row>131</xdr:row>
      <xdr:rowOff>142875</xdr:rowOff>
    </xdr:from>
    <xdr:to>
      <xdr:col>26</xdr:col>
      <xdr:colOff>66675</xdr:colOff>
      <xdr:row>147</xdr:row>
      <xdr:rowOff>190500</xdr:rowOff>
    </xdr:to>
    <xdr:graphicFrame macro="">
      <xdr:nvGraphicFramePr>
        <xdr:cNvPr id="3" name="Chart 2"/>
        <xdr:cNvGraphicFramePr/>
      </xdr:nvGraphicFramePr>
      <xdr:xfrm>
        <a:off x="16573500" y="25688925"/>
        <a:ext cx="48196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104775</xdr:rowOff>
    </xdr:from>
    <xdr:to>
      <xdr:col>14</xdr:col>
      <xdr:colOff>314325</xdr:colOff>
      <xdr:row>18</xdr:row>
      <xdr:rowOff>180975</xdr:rowOff>
    </xdr:to>
    <xdr:graphicFrame macro="">
      <xdr:nvGraphicFramePr>
        <xdr:cNvPr id="2" name="Chart 1"/>
        <xdr:cNvGraphicFramePr/>
      </xdr:nvGraphicFramePr>
      <xdr:xfrm>
        <a:off x="6086475" y="1057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114300</xdr:colOff>
      <xdr:row>10</xdr:row>
      <xdr:rowOff>28575</xdr:rowOff>
    </xdr:from>
    <xdr:to>
      <xdr:col>45</xdr:col>
      <xdr:colOff>219075</xdr:colOff>
      <xdr:row>25</xdr:row>
      <xdr:rowOff>114300</xdr:rowOff>
    </xdr:to>
    <xdr:graphicFrame macro="">
      <xdr:nvGraphicFramePr>
        <xdr:cNvPr id="2" name="Chart 1"/>
        <xdr:cNvGraphicFramePr/>
      </xdr:nvGraphicFramePr>
      <xdr:xfrm>
        <a:off x="22669500" y="2228850"/>
        <a:ext cx="4981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9</xdr:row>
      <xdr:rowOff>171450</xdr:rowOff>
    </xdr:from>
    <xdr:to>
      <xdr:col>27</xdr:col>
      <xdr:colOff>381000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12544425" y="1952625"/>
        <a:ext cx="45529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10</xdr:row>
      <xdr:rowOff>19050</xdr:rowOff>
    </xdr:from>
    <xdr:to>
      <xdr:col>15</xdr:col>
      <xdr:colOff>523875</xdr:colOff>
      <xdr:row>24</xdr:row>
      <xdr:rowOff>85725</xdr:rowOff>
    </xdr:to>
    <xdr:graphicFrame macro="">
      <xdr:nvGraphicFramePr>
        <xdr:cNvPr id="2" name="Chart 1"/>
        <xdr:cNvGraphicFramePr/>
      </xdr:nvGraphicFramePr>
      <xdr:xfrm>
        <a:off x="5781675" y="1924050"/>
        <a:ext cx="4705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390525</xdr:colOff>
      <xdr:row>8</xdr:row>
      <xdr:rowOff>142875</xdr:rowOff>
    </xdr:from>
    <xdr:to>
      <xdr:col>23</xdr:col>
      <xdr:colOff>257175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10963275" y="1666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1"/>
  <sheetViews>
    <sheetView zoomScale="60" zoomScaleNormal="60" zoomScaleSheetLayoutView="40" workbookViewId="0" topLeftCell="A96">
      <selection activeCell="N99" sqref="N99:W122"/>
    </sheetView>
  </sheetViews>
  <sheetFormatPr defaultColWidth="9.140625" defaultRowHeight="15"/>
  <cols>
    <col min="2" max="2" width="17.57421875" style="0" customWidth="1"/>
    <col min="3" max="3" width="14.00390625" style="0" customWidth="1"/>
    <col min="4" max="4" width="24.421875" style="0" customWidth="1"/>
    <col min="5" max="5" width="18.8515625" style="0" customWidth="1"/>
    <col min="6" max="6" width="24.8515625" style="0" customWidth="1"/>
    <col min="7" max="7" width="19.57421875" style="0" customWidth="1"/>
    <col min="8" max="8" width="9.421875" style="0" customWidth="1"/>
    <col min="9" max="9" width="8.7109375" style="0" customWidth="1"/>
    <col min="10" max="10" width="12.00390625" style="0" customWidth="1"/>
    <col min="11" max="11" width="10.28125" style="0" customWidth="1"/>
    <col min="12" max="13" width="9.7109375" style="0" customWidth="1"/>
    <col min="14" max="14" width="10.00390625" style="0" customWidth="1"/>
    <col min="15" max="15" width="9.8515625" style="0" customWidth="1"/>
    <col min="16" max="16" width="7.7109375" style="0" customWidth="1"/>
    <col min="17" max="17" width="7.140625" style="0" customWidth="1"/>
    <col min="18" max="18" width="11.421875" style="0" customWidth="1"/>
    <col min="19" max="19" width="11.00390625" style="0" customWidth="1"/>
    <col min="20" max="20" width="10.421875" style="0" customWidth="1"/>
    <col min="21" max="21" width="10.00390625" style="0" customWidth="1"/>
    <col min="22" max="22" width="9.8515625" style="0" customWidth="1"/>
    <col min="23" max="23" width="15.421875" style="0" customWidth="1"/>
    <col min="24" max="24" width="5.57421875" style="0" customWidth="1"/>
    <col min="25" max="25" width="6.8515625" style="0" customWidth="1"/>
    <col min="26" max="26" width="6.28125" style="0" customWidth="1"/>
    <col min="27" max="27" width="5.57421875" style="0" customWidth="1"/>
    <col min="28" max="28" width="9.421875" style="0" customWidth="1"/>
    <col min="32" max="33" width="10.00390625" style="0" customWidth="1"/>
  </cols>
  <sheetData>
    <row r="1" spans="1:10" ht="15.75">
      <c r="A1" s="169" t="s">
        <v>0</v>
      </c>
      <c r="B1" s="169"/>
      <c r="C1" s="169"/>
      <c r="D1" s="8" t="s">
        <v>61</v>
      </c>
      <c r="E1" s="7" t="s">
        <v>41</v>
      </c>
      <c r="F1" s="7" t="s">
        <v>43</v>
      </c>
      <c r="G1" s="7"/>
      <c r="I1" s="13" t="s">
        <v>72</v>
      </c>
      <c r="J1" s="13"/>
    </row>
    <row r="2" spans="1:10" ht="15.75">
      <c r="A2" s="169" t="s">
        <v>1</v>
      </c>
      <c r="B2" s="169"/>
      <c r="C2" s="9">
        <v>0.6555555555555556</v>
      </c>
      <c r="D2" s="8"/>
      <c r="E2" s="7" t="s">
        <v>42</v>
      </c>
      <c r="F2" s="7" t="s">
        <v>44</v>
      </c>
      <c r="G2" s="7"/>
      <c r="I2" s="13" t="s">
        <v>73</v>
      </c>
      <c r="J2" s="13"/>
    </row>
    <row r="3" spans="1:7" ht="15.75">
      <c r="A3" s="169" t="s">
        <v>40</v>
      </c>
      <c r="B3" s="169"/>
      <c r="C3" s="8">
        <v>1</v>
      </c>
      <c r="D3" s="8"/>
      <c r="E3" s="10"/>
      <c r="F3" s="10"/>
      <c r="G3" s="10"/>
    </row>
    <row r="5" spans="1:38" ht="38.25">
      <c r="A5" s="11" t="s">
        <v>2</v>
      </c>
      <c r="B5" s="11" t="s">
        <v>6</v>
      </c>
      <c r="C5" s="11" t="s">
        <v>3</v>
      </c>
      <c r="D5" s="11" t="s">
        <v>65</v>
      </c>
      <c r="E5" s="11" t="s">
        <v>66</v>
      </c>
      <c r="G5" s="102" t="s">
        <v>130</v>
      </c>
      <c r="H5" s="103" t="s">
        <v>101</v>
      </c>
      <c r="I5" s="103" t="s">
        <v>112</v>
      </c>
      <c r="J5" s="104" t="s">
        <v>64</v>
      </c>
      <c r="K5" s="104" t="s">
        <v>102</v>
      </c>
      <c r="L5" s="103" t="s">
        <v>113</v>
      </c>
      <c r="M5" s="104" t="s">
        <v>114</v>
      </c>
      <c r="N5" s="103" t="s">
        <v>103</v>
      </c>
      <c r="O5" s="103" t="s">
        <v>104</v>
      </c>
      <c r="P5" s="104" t="s">
        <v>37</v>
      </c>
      <c r="Q5" s="104" t="s">
        <v>34</v>
      </c>
      <c r="R5" s="104" t="s">
        <v>18</v>
      </c>
      <c r="S5" s="104" t="s">
        <v>30</v>
      </c>
      <c r="T5" s="103" t="s">
        <v>68</v>
      </c>
      <c r="U5" s="103" t="s">
        <v>115</v>
      </c>
      <c r="V5" s="103" t="s">
        <v>116</v>
      </c>
      <c r="W5" s="103" t="s">
        <v>117</v>
      </c>
      <c r="X5" s="103" t="s">
        <v>118</v>
      </c>
      <c r="Y5" s="103" t="s">
        <v>119</v>
      </c>
      <c r="Z5" s="103" t="s">
        <v>120</v>
      </c>
      <c r="AA5" s="103" t="s">
        <v>121</v>
      </c>
      <c r="AB5" s="104" t="s">
        <v>55</v>
      </c>
      <c r="AC5" s="104" t="s">
        <v>13</v>
      </c>
      <c r="AD5" s="103" t="s">
        <v>122</v>
      </c>
      <c r="AE5" s="105" t="s">
        <v>97</v>
      </c>
      <c r="AF5" s="104" t="s">
        <v>123</v>
      </c>
      <c r="AG5" s="104" t="s">
        <v>58</v>
      </c>
      <c r="AH5" s="104" t="s">
        <v>69</v>
      </c>
      <c r="AI5" s="104" t="s">
        <v>124</v>
      </c>
      <c r="AJ5" s="103" t="s">
        <v>125</v>
      </c>
      <c r="AK5" s="104" t="s">
        <v>60</v>
      </c>
      <c r="AL5" s="106" t="s">
        <v>126</v>
      </c>
    </row>
    <row r="6" spans="1:38" ht="15.75">
      <c r="A6" s="1">
        <v>1</v>
      </c>
      <c r="B6" s="1" t="s">
        <v>7</v>
      </c>
      <c r="C6" s="1" t="s">
        <v>8</v>
      </c>
      <c r="D6" s="1" t="s">
        <v>33</v>
      </c>
      <c r="E6" s="1">
        <v>3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3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11</v>
      </c>
    </row>
    <row r="7" spans="1:38" ht="15.75">
      <c r="A7" s="1">
        <v>2</v>
      </c>
      <c r="B7" s="1" t="s">
        <v>19</v>
      </c>
      <c r="C7" s="1" t="s">
        <v>11</v>
      </c>
      <c r="D7" s="1" t="s">
        <v>67</v>
      </c>
      <c r="E7" s="1">
        <v>11</v>
      </c>
      <c r="G7">
        <v>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</row>
    <row r="8" spans="1:38" ht="15.75">
      <c r="A8" s="1"/>
      <c r="B8" s="1" t="s">
        <v>19</v>
      </c>
      <c r="C8" s="1" t="s">
        <v>8</v>
      </c>
      <c r="D8" s="1" t="s">
        <v>32</v>
      </c>
      <c r="E8" s="1">
        <v>1</v>
      </c>
      <c r="G8">
        <v>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8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</row>
    <row r="9" spans="1:38" ht="15.75">
      <c r="A9" s="1">
        <v>3</v>
      </c>
      <c r="B9" s="1" t="s">
        <v>7</v>
      </c>
      <c r="C9" s="1" t="s">
        <v>8</v>
      </c>
      <c r="D9" s="1" t="s">
        <v>33</v>
      </c>
      <c r="E9" s="1">
        <v>8</v>
      </c>
      <c r="G9">
        <v>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13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</row>
    <row r="10" spans="1:38" ht="15.75">
      <c r="A10" s="1">
        <v>4</v>
      </c>
      <c r="B10" s="1" t="s">
        <v>7</v>
      </c>
      <c r="C10" s="1" t="s">
        <v>8</v>
      </c>
      <c r="D10" s="1" t="s">
        <v>33</v>
      </c>
      <c r="E10" s="1">
        <v>13</v>
      </c>
      <c r="G10">
        <v>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12</v>
      </c>
    </row>
    <row r="11" spans="1:38" ht="15.75">
      <c r="A11" s="1">
        <v>5</v>
      </c>
      <c r="B11" s="1" t="s">
        <v>19</v>
      </c>
      <c r="C11" s="1" t="s">
        <v>11</v>
      </c>
      <c r="D11" s="1" t="s">
        <v>67</v>
      </c>
      <c r="E11" s="1">
        <v>12</v>
      </c>
      <c r="G11">
        <v>6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</row>
    <row r="12" spans="1:38" ht="15.75">
      <c r="A12" s="1">
        <v>6</v>
      </c>
      <c r="B12" s="1" t="s">
        <v>7</v>
      </c>
      <c r="C12" s="1" t="s">
        <v>12</v>
      </c>
      <c r="D12" s="1" t="s">
        <v>13</v>
      </c>
      <c r="E12" s="1">
        <v>1</v>
      </c>
      <c r="G12">
        <v>7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5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</row>
    <row r="13" spans="1:38" ht="15.75">
      <c r="A13" s="1"/>
      <c r="B13" s="1" t="s">
        <v>7</v>
      </c>
      <c r="C13" s="1" t="s">
        <v>8</v>
      </c>
      <c r="D13" s="1" t="s">
        <v>34</v>
      </c>
      <c r="E13" s="1">
        <v>1</v>
      </c>
      <c r="G13">
        <v>8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7</v>
      </c>
      <c r="AL13">
        <v>0</v>
      </c>
    </row>
    <row r="14" spans="1:38" ht="15.75">
      <c r="A14" s="1">
        <v>7</v>
      </c>
      <c r="B14" s="1" t="s">
        <v>7</v>
      </c>
      <c r="C14" s="1" t="s">
        <v>8</v>
      </c>
      <c r="D14" s="1" t="s">
        <v>33</v>
      </c>
      <c r="E14" s="1">
        <v>5</v>
      </c>
      <c r="G14">
        <v>9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4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</row>
    <row r="15" spans="1:38" ht="15.75">
      <c r="A15" s="1">
        <v>8</v>
      </c>
      <c r="B15" s="1" t="s">
        <v>22</v>
      </c>
      <c r="C15" s="1" t="s">
        <v>35</v>
      </c>
      <c r="D15" s="1" t="s">
        <v>67</v>
      </c>
      <c r="E15" s="1">
        <v>1</v>
      </c>
      <c r="G15">
        <v>10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3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</row>
    <row r="16" spans="1:38" ht="15.75">
      <c r="A16" s="1"/>
      <c r="B16" s="1" t="s">
        <v>22</v>
      </c>
      <c r="C16" s="1" t="s">
        <v>11</v>
      </c>
      <c r="D16" s="1" t="s">
        <v>60</v>
      </c>
      <c r="E16" s="1">
        <v>7</v>
      </c>
      <c r="G16">
        <v>11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</row>
    <row r="17" spans="1:38" ht="15.75">
      <c r="A17" s="1">
        <v>9</v>
      </c>
      <c r="B17" s="1" t="s">
        <v>19</v>
      </c>
      <c r="C17" s="1" t="s">
        <v>20</v>
      </c>
      <c r="D17" s="1" t="s">
        <v>9</v>
      </c>
      <c r="E17" s="1">
        <v>4</v>
      </c>
      <c r="G17">
        <v>12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7</v>
      </c>
    </row>
    <row r="18" spans="1:38" ht="15.75">
      <c r="A18" s="1">
        <v>10</v>
      </c>
      <c r="B18" s="1" t="s">
        <v>19</v>
      </c>
      <c r="C18" s="1" t="s">
        <v>20</v>
      </c>
      <c r="D18" s="1" t="s">
        <v>9</v>
      </c>
      <c r="E18" s="1">
        <v>3</v>
      </c>
      <c r="G18">
        <v>13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3</v>
      </c>
    </row>
    <row r="19" spans="1:38" ht="15.75">
      <c r="A19" s="1">
        <v>11</v>
      </c>
      <c r="B19" s="1">
        <v>0</v>
      </c>
      <c r="C19" s="1"/>
      <c r="D19" s="1"/>
      <c r="E19" s="1">
        <v>0</v>
      </c>
      <c r="G19">
        <v>14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</row>
    <row r="20" spans="1:38" ht="15.75">
      <c r="A20" s="1">
        <v>12</v>
      </c>
      <c r="B20" s="1" t="s">
        <v>19</v>
      </c>
      <c r="C20" s="1" t="s">
        <v>11</v>
      </c>
      <c r="D20" s="1" t="s">
        <v>67</v>
      </c>
      <c r="E20" s="1">
        <v>7</v>
      </c>
      <c r="G20">
        <v>15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</row>
    <row r="21" spans="1:38" ht="15.75">
      <c r="A21" s="1">
        <v>13</v>
      </c>
      <c r="B21" s="1" t="s">
        <v>7</v>
      </c>
      <c r="C21" s="1" t="s">
        <v>12</v>
      </c>
      <c r="D21" s="1" t="s">
        <v>13</v>
      </c>
      <c r="E21" s="1">
        <v>4</v>
      </c>
      <c r="G21">
        <v>16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</row>
    <row r="22" spans="1:38" ht="15.75">
      <c r="A22" s="1"/>
      <c r="B22" s="1" t="s">
        <v>19</v>
      </c>
      <c r="C22" s="1" t="s">
        <v>11</v>
      </c>
      <c r="D22" s="1" t="s">
        <v>67</v>
      </c>
      <c r="E22" s="1">
        <v>3</v>
      </c>
      <c r="G22">
        <v>17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</row>
    <row r="23" spans="1:38" ht="15.75">
      <c r="A23" s="1">
        <v>14</v>
      </c>
      <c r="B23" s="1" t="s">
        <v>7</v>
      </c>
      <c r="C23" s="1" t="s">
        <v>36</v>
      </c>
      <c r="D23" s="1" t="s">
        <v>67</v>
      </c>
      <c r="E23" s="1">
        <v>1</v>
      </c>
      <c r="G23">
        <v>18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</row>
    <row r="24" spans="1:38" ht="15.75">
      <c r="A24" s="1">
        <v>15</v>
      </c>
      <c r="B24" s="1">
        <v>0</v>
      </c>
      <c r="C24" s="1"/>
      <c r="D24" s="1"/>
      <c r="E24" s="1">
        <v>0</v>
      </c>
      <c r="G24">
        <v>19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</row>
    <row r="25" spans="1:38" ht="15.75">
      <c r="A25" s="1">
        <v>16</v>
      </c>
      <c r="B25" s="1">
        <v>0</v>
      </c>
      <c r="C25" s="1"/>
      <c r="D25" s="1"/>
      <c r="E25" s="1">
        <v>0</v>
      </c>
      <c r="G25">
        <v>20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</row>
    <row r="26" spans="1:38" ht="15.75">
      <c r="A26" s="1">
        <v>17</v>
      </c>
      <c r="B26" s="1" t="s">
        <v>7</v>
      </c>
      <c r="C26" s="1" t="s">
        <v>8</v>
      </c>
      <c r="D26" s="1" t="s">
        <v>9</v>
      </c>
      <c r="E26" s="1">
        <v>1</v>
      </c>
      <c r="G26">
        <v>21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5</v>
      </c>
    </row>
    <row r="27" spans="1:38" ht="15.75">
      <c r="A27" s="1">
        <v>18</v>
      </c>
      <c r="B27" s="1">
        <v>0</v>
      </c>
      <c r="C27" s="1"/>
      <c r="D27" s="1"/>
      <c r="E27" s="1">
        <v>0</v>
      </c>
      <c r="G27">
        <v>22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</row>
    <row r="28" spans="1:38" ht="15.75">
      <c r="A28" s="1">
        <v>19</v>
      </c>
      <c r="B28" s="1">
        <v>0</v>
      </c>
      <c r="C28" s="1"/>
      <c r="D28" s="1"/>
      <c r="E28" s="1">
        <v>0</v>
      </c>
      <c r="G28">
        <v>23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</row>
    <row r="29" spans="1:38" ht="15.75">
      <c r="A29" s="1">
        <v>20</v>
      </c>
      <c r="B29" s="1">
        <v>0</v>
      </c>
      <c r="C29" s="1"/>
      <c r="D29" s="1"/>
      <c r="E29" s="1">
        <v>0</v>
      </c>
      <c r="G29">
        <v>24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</row>
    <row r="30" spans="1:38" ht="15.75">
      <c r="A30" s="1">
        <v>21</v>
      </c>
      <c r="B30" s="1" t="s">
        <v>19</v>
      </c>
      <c r="C30" s="1" t="s">
        <v>11</v>
      </c>
      <c r="D30" s="1" t="s">
        <v>67</v>
      </c>
      <c r="E30" s="1">
        <v>5</v>
      </c>
      <c r="G30">
        <v>25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</row>
    <row r="31" spans="1:38" ht="15.75">
      <c r="A31" s="1">
        <v>22</v>
      </c>
      <c r="B31" s="1" t="s">
        <v>7</v>
      </c>
      <c r="C31" s="1" t="s">
        <v>8</v>
      </c>
      <c r="D31" s="1" t="s">
        <v>33</v>
      </c>
      <c r="E31" s="1">
        <v>1</v>
      </c>
      <c r="G31">
        <v>26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</row>
    <row r="32" spans="1:38" ht="15.75">
      <c r="A32" s="1">
        <v>23</v>
      </c>
      <c r="B32" s="1">
        <v>0</v>
      </c>
      <c r="C32" s="1"/>
      <c r="D32" s="1"/>
      <c r="E32" s="1">
        <v>0</v>
      </c>
      <c r="G32">
        <v>27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</row>
    <row r="33" spans="1:38" ht="15.75">
      <c r="A33" s="1">
        <v>24</v>
      </c>
      <c r="B33" s="1">
        <v>0</v>
      </c>
      <c r="C33" s="1"/>
      <c r="D33" s="1"/>
      <c r="E33" s="1">
        <v>0</v>
      </c>
      <c r="G33">
        <v>28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</row>
    <row r="34" spans="1:38" ht="15.75">
      <c r="A34" s="1">
        <v>25</v>
      </c>
      <c r="B34" s="1">
        <v>0</v>
      </c>
      <c r="C34" s="1"/>
      <c r="D34" s="1"/>
      <c r="E34" s="1">
        <v>0</v>
      </c>
      <c r="G34">
        <v>29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</row>
    <row r="35" spans="1:38" ht="15.75">
      <c r="A35" s="1">
        <v>26</v>
      </c>
      <c r="B35" s="1">
        <v>0</v>
      </c>
      <c r="C35" s="1"/>
      <c r="D35" s="1"/>
      <c r="E35" s="1">
        <v>0</v>
      </c>
      <c r="G35">
        <v>30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3</v>
      </c>
    </row>
    <row r="36" spans="1:38" ht="15.75">
      <c r="A36" s="1">
        <v>27</v>
      </c>
      <c r="B36" s="1">
        <v>0</v>
      </c>
      <c r="C36" s="1"/>
      <c r="D36" s="1"/>
      <c r="E36" s="1">
        <v>0</v>
      </c>
      <c r="G36">
        <v>31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</row>
    <row r="37" spans="1:38" ht="15.75">
      <c r="A37" s="1">
        <v>28</v>
      </c>
      <c r="B37" s="1">
        <v>0</v>
      </c>
      <c r="C37" s="1"/>
      <c r="D37" s="1"/>
      <c r="E37" s="1">
        <v>0</v>
      </c>
      <c r="G37">
        <v>32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</row>
    <row r="38" spans="1:38" ht="15.75">
      <c r="A38" s="1">
        <v>29</v>
      </c>
      <c r="B38" s="1">
        <v>0</v>
      </c>
      <c r="C38" s="1"/>
      <c r="D38" s="1"/>
      <c r="E38" s="1">
        <v>0</v>
      </c>
      <c r="G38">
        <v>33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</row>
    <row r="39" spans="1:38" ht="15.75">
      <c r="A39" s="1">
        <v>30</v>
      </c>
      <c r="B39" s="1" t="s">
        <v>22</v>
      </c>
      <c r="C39" s="1" t="s">
        <v>21</v>
      </c>
      <c r="D39" s="1" t="s">
        <v>16</v>
      </c>
      <c r="E39" s="1">
        <v>1</v>
      </c>
      <c r="G39">
        <v>34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</row>
    <row r="40" spans="1:38" ht="15.75">
      <c r="A40" s="1"/>
      <c r="B40" s="1" t="s">
        <v>7</v>
      </c>
      <c r="C40" s="1" t="s">
        <v>8</v>
      </c>
      <c r="D40" s="1" t="s">
        <v>9</v>
      </c>
      <c r="E40" s="1">
        <v>1</v>
      </c>
      <c r="G40">
        <v>35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4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</row>
    <row r="41" spans="1:38" ht="15.75">
      <c r="A41" s="1"/>
      <c r="B41" s="1" t="s">
        <v>19</v>
      </c>
      <c r="C41" s="1" t="s">
        <v>11</v>
      </c>
      <c r="D41" s="1" t="s">
        <v>67</v>
      </c>
      <c r="E41" s="1">
        <v>3</v>
      </c>
      <c r="G41">
        <v>36</v>
      </c>
      <c r="H41">
        <v>0</v>
      </c>
      <c r="I41">
        <v>0</v>
      </c>
      <c r="J41">
        <v>0</v>
      </c>
      <c r="K41">
        <v>0</v>
      </c>
      <c r="L41">
        <v>3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</row>
    <row r="42" spans="1:38" ht="15.75">
      <c r="A42" s="1">
        <v>31</v>
      </c>
      <c r="B42" s="1">
        <v>0</v>
      </c>
      <c r="C42" s="1"/>
      <c r="D42" s="1"/>
      <c r="E42" s="1"/>
      <c r="G42">
        <v>37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</row>
    <row r="43" spans="1:38" ht="15.75">
      <c r="A43" s="1">
        <v>32</v>
      </c>
      <c r="B43" s="1" t="s">
        <v>7</v>
      </c>
      <c r="C43" s="1" t="s">
        <v>8</v>
      </c>
      <c r="D43" s="1" t="s">
        <v>9</v>
      </c>
      <c r="E43" s="1">
        <v>2</v>
      </c>
      <c r="G43">
        <v>38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4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</row>
    <row r="44" spans="1:38" ht="15.75">
      <c r="A44" s="1">
        <v>33</v>
      </c>
      <c r="B44" s="1" t="s">
        <v>28</v>
      </c>
      <c r="C44" s="1" t="s">
        <v>26</v>
      </c>
      <c r="D44" s="1" t="s">
        <v>16</v>
      </c>
      <c r="E44" s="1">
        <v>1</v>
      </c>
      <c r="G44">
        <v>39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</row>
    <row r="45" spans="1:38" ht="15.75">
      <c r="A45" s="1">
        <v>34</v>
      </c>
      <c r="B45" s="1">
        <v>0</v>
      </c>
      <c r="C45" s="1"/>
      <c r="D45" s="1"/>
      <c r="E45" s="1">
        <v>0</v>
      </c>
      <c r="G45">
        <v>40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5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</row>
    <row r="46" spans="1:38" ht="15.75">
      <c r="A46" s="1">
        <v>35</v>
      </c>
      <c r="B46" s="1" t="s">
        <v>28</v>
      </c>
      <c r="C46" s="1" t="s">
        <v>8</v>
      </c>
      <c r="D46" s="1" t="s">
        <v>30</v>
      </c>
      <c r="E46" s="1">
        <v>4</v>
      </c>
      <c r="G46">
        <v>41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</row>
    <row r="47" spans="1:38" ht="15.75">
      <c r="A47" s="1">
        <v>36</v>
      </c>
      <c r="B47" s="1" t="s">
        <v>19</v>
      </c>
      <c r="C47" s="1" t="s">
        <v>26</v>
      </c>
      <c r="D47" s="1" t="s">
        <v>16</v>
      </c>
      <c r="E47" s="1">
        <v>3</v>
      </c>
      <c r="G47">
        <v>42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</row>
    <row r="48" spans="1:38" ht="15.75">
      <c r="A48" s="1">
        <v>37</v>
      </c>
      <c r="B48" s="1" t="s">
        <v>28</v>
      </c>
      <c r="C48" s="1" t="s">
        <v>10</v>
      </c>
      <c r="D48" s="1" t="s">
        <v>30</v>
      </c>
      <c r="E48" s="1">
        <v>4</v>
      </c>
      <c r="G48">
        <v>43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4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</row>
    <row r="49" spans="1:38" ht="15.75">
      <c r="A49" s="1">
        <v>38</v>
      </c>
      <c r="B49" s="1" t="s">
        <v>7</v>
      </c>
      <c r="C49" s="1" t="s">
        <v>10</v>
      </c>
      <c r="D49" s="1" t="s">
        <v>37</v>
      </c>
      <c r="E49" s="1">
        <v>4</v>
      </c>
      <c r="G49">
        <v>44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5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</row>
    <row r="50" spans="1:38" ht="15.75">
      <c r="A50" s="1">
        <v>39</v>
      </c>
      <c r="B50" s="1" t="s">
        <v>7</v>
      </c>
      <c r="C50" s="1" t="s">
        <v>8</v>
      </c>
      <c r="D50" s="1" t="s">
        <v>18</v>
      </c>
      <c r="E50" s="1">
        <v>8</v>
      </c>
      <c r="G50">
        <v>45</v>
      </c>
      <c r="H50">
        <v>0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</row>
    <row r="51" spans="1:38" ht="15.75">
      <c r="A51" s="1">
        <v>40</v>
      </c>
      <c r="B51" s="1" t="s">
        <v>7</v>
      </c>
      <c r="C51" s="1" t="s">
        <v>8</v>
      </c>
      <c r="D51" s="1" t="s">
        <v>18</v>
      </c>
      <c r="E51" s="1">
        <v>5</v>
      </c>
      <c r="G51">
        <v>46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9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</row>
    <row r="52" spans="1:38" ht="15.75">
      <c r="A52" s="1">
        <v>41</v>
      </c>
      <c r="B52" s="1">
        <v>0</v>
      </c>
      <c r="C52" s="1"/>
      <c r="D52" s="1"/>
      <c r="E52" s="1">
        <v>0</v>
      </c>
      <c r="G52">
        <v>47</v>
      </c>
      <c r="H52">
        <v>0</v>
      </c>
      <c r="I52">
        <v>0</v>
      </c>
      <c r="J52">
        <v>3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</row>
    <row r="53" spans="1:38" ht="15.75">
      <c r="A53" s="1">
        <v>42</v>
      </c>
      <c r="B53" s="1">
        <v>0</v>
      </c>
      <c r="C53" s="1"/>
      <c r="D53" s="1"/>
      <c r="E53" s="1">
        <v>0</v>
      </c>
      <c r="G53">
        <v>48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 s="107">
        <v>5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</row>
    <row r="54" spans="1:38" ht="15.75">
      <c r="A54" s="1">
        <v>43</v>
      </c>
      <c r="B54" s="1" t="s">
        <v>7</v>
      </c>
      <c r="C54" s="1" t="s">
        <v>10</v>
      </c>
      <c r="D54" s="1" t="s">
        <v>37</v>
      </c>
      <c r="E54" s="1">
        <v>4</v>
      </c>
      <c r="G54">
        <v>49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</row>
    <row r="55" spans="1:38" ht="15.75">
      <c r="A55" s="1">
        <v>44</v>
      </c>
      <c r="B55" s="1" t="s">
        <v>7</v>
      </c>
      <c r="C55" s="1" t="s">
        <v>8</v>
      </c>
      <c r="D55" s="1" t="s">
        <v>18</v>
      </c>
      <c r="E55" s="1">
        <v>5</v>
      </c>
      <c r="G55">
        <v>50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</row>
    <row r="56" spans="1:38" ht="15.75">
      <c r="A56" s="1">
        <v>45</v>
      </c>
      <c r="B56" s="1" t="s">
        <v>63</v>
      </c>
      <c r="C56" s="1" t="s">
        <v>21</v>
      </c>
      <c r="D56" s="1" t="s">
        <v>64</v>
      </c>
      <c r="E56" s="1">
        <v>1</v>
      </c>
      <c r="G56">
        <v>51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</row>
    <row r="57" spans="1:38" ht="15.75">
      <c r="A57" s="1">
        <v>46</v>
      </c>
      <c r="B57" s="1" t="s">
        <v>7</v>
      </c>
      <c r="C57" s="1" t="s">
        <v>36</v>
      </c>
      <c r="D57" s="1" t="s">
        <v>67</v>
      </c>
      <c r="E57" s="1">
        <v>1</v>
      </c>
      <c r="G57">
        <v>52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</row>
    <row r="58" spans="1:38" ht="15.75">
      <c r="A58" s="1"/>
      <c r="B58" s="1" t="s">
        <v>7</v>
      </c>
      <c r="C58" s="1" t="s">
        <v>10</v>
      </c>
      <c r="D58" s="1" t="s">
        <v>18</v>
      </c>
      <c r="E58" s="1">
        <v>9</v>
      </c>
      <c r="G58">
        <v>53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4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</row>
    <row r="59" spans="1:38" ht="15.75">
      <c r="A59" s="1">
        <v>47</v>
      </c>
      <c r="B59" s="1" t="s">
        <v>63</v>
      </c>
      <c r="C59" s="1" t="s">
        <v>21</v>
      </c>
      <c r="D59" s="1" t="s">
        <v>64</v>
      </c>
      <c r="E59" s="1">
        <v>3</v>
      </c>
      <c r="G59">
        <v>54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2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0</v>
      </c>
      <c r="AJ59">
        <v>0</v>
      </c>
      <c r="AK59">
        <v>0</v>
      </c>
      <c r="AL59">
        <v>0</v>
      </c>
    </row>
    <row r="60" spans="1:38" ht="15.75">
      <c r="A60" s="1">
        <v>48</v>
      </c>
      <c r="B60" s="1" t="s">
        <v>7</v>
      </c>
      <c r="C60" s="1" t="s">
        <v>38</v>
      </c>
      <c r="D60" s="1" t="s">
        <v>13</v>
      </c>
      <c r="E60" s="1">
        <v>5</v>
      </c>
      <c r="G60">
        <v>55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2</v>
      </c>
      <c r="Q60">
        <v>0</v>
      </c>
      <c r="R60">
        <v>6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</row>
    <row r="61" spans="1:38" ht="15.75">
      <c r="A61" s="1">
        <v>49</v>
      </c>
      <c r="B61" s="1" t="s">
        <v>7</v>
      </c>
      <c r="C61" s="1" t="s">
        <v>10</v>
      </c>
      <c r="D61" s="1" t="s">
        <v>18</v>
      </c>
      <c r="E61" s="1">
        <v>2</v>
      </c>
      <c r="G61">
        <v>56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2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</row>
    <row r="62" spans="1:38" ht="15.75">
      <c r="A62" s="1">
        <v>50</v>
      </c>
      <c r="B62" s="1">
        <v>0</v>
      </c>
      <c r="C62" s="1"/>
      <c r="D62" s="1"/>
      <c r="E62" s="1">
        <v>0</v>
      </c>
      <c r="G62">
        <v>57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</row>
    <row r="63" spans="1:38" ht="15.75">
      <c r="A63" s="1">
        <v>51</v>
      </c>
      <c r="B63" s="1">
        <v>0</v>
      </c>
      <c r="C63" s="1"/>
      <c r="D63" s="1"/>
      <c r="E63" s="1">
        <v>0</v>
      </c>
      <c r="G63">
        <v>58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</row>
    <row r="64" spans="1:38" ht="15.75">
      <c r="A64" s="1">
        <v>52</v>
      </c>
      <c r="B64" s="1">
        <v>0</v>
      </c>
      <c r="C64" s="1"/>
      <c r="D64" s="1"/>
      <c r="E64" s="1">
        <v>0</v>
      </c>
      <c r="G64">
        <v>59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2</v>
      </c>
      <c r="AE64">
        <v>1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</row>
    <row r="65" spans="1:38" ht="15.75">
      <c r="A65" s="1">
        <v>53</v>
      </c>
      <c r="B65" s="1" t="s">
        <v>7</v>
      </c>
      <c r="C65" s="1" t="s">
        <v>8</v>
      </c>
      <c r="D65" s="1" t="s">
        <v>18</v>
      </c>
      <c r="E65" s="1">
        <v>4</v>
      </c>
      <c r="G65">
        <v>60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</row>
    <row r="66" spans="1:38" ht="15.75">
      <c r="A66" s="1">
        <v>54</v>
      </c>
      <c r="B66" s="1" t="s">
        <v>7</v>
      </c>
      <c r="C66" s="1" t="s">
        <v>8</v>
      </c>
      <c r="D66" s="1" t="s">
        <v>18</v>
      </c>
      <c r="E66" s="1">
        <v>2</v>
      </c>
      <c r="G66">
        <v>61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4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</row>
    <row r="67" spans="1:38" ht="15.75">
      <c r="A67" s="1"/>
      <c r="B67" s="1" t="s">
        <v>22</v>
      </c>
      <c r="C67" s="1" t="s">
        <v>25</v>
      </c>
      <c r="D67" s="1" t="s">
        <v>69</v>
      </c>
      <c r="E67" s="1">
        <v>1</v>
      </c>
      <c r="G67">
        <v>62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</row>
    <row r="68" spans="1:38" ht="15.75">
      <c r="A68" s="1">
        <v>55</v>
      </c>
      <c r="B68" s="1" t="s">
        <v>7</v>
      </c>
      <c r="C68" s="1" t="s">
        <v>8</v>
      </c>
      <c r="D68" s="1" t="s">
        <v>18</v>
      </c>
      <c r="E68" s="1">
        <v>6</v>
      </c>
      <c r="G68">
        <v>63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</row>
    <row r="69" spans="1:38" ht="15.75">
      <c r="A69" s="1"/>
      <c r="B69" s="1"/>
      <c r="C69" s="1" t="s">
        <v>8</v>
      </c>
      <c r="D69" s="1" t="s">
        <v>37</v>
      </c>
      <c r="E69" s="1">
        <v>2</v>
      </c>
      <c r="G69">
        <v>64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3</v>
      </c>
      <c r="AK69">
        <v>0</v>
      </c>
      <c r="AL69">
        <v>0</v>
      </c>
    </row>
    <row r="70" spans="1:38" ht="15.75">
      <c r="A70" s="1">
        <v>56</v>
      </c>
      <c r="B70" s="1" t="s">
        <v>7</v>
      </c>
      <c r="C70" s="1" t="s">
        <v>10</v>
      </c>
      <c r="D70" s="1" t="s">
        <v>18</v>
      </c>
      <c r="E70" s="1">
        <v>2</v>
      </c>
      <c r="G70">
        <v>65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2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</row>
    <row r="71" spans="1:38" ht="15.75">
      <c r="A71" s="1">
        <v>57</v>
      </c>
      <c r="B71" s="1">
        <v>0</v>
      </c>
      <c r="C71" s="1"/>
      <c r="D71" s="1"/>
      <c r="E71" s="1">
        <v>0</v>
      </c>
      <c r="G71">
        <v>66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</row>
    <row r="72" spans="1:38" ht="15.75">
      <c r="A72" s="1">
        <v>58</v>
      </c>
      <c r="B72" s="1">
        <v>0</v>
      </c>
      <c r="C72" s="1"/>
      <c r="D72" s="1"/>
      <c r="E72" s="1">
        <v>0</v>
      </c>
      <c r="G72">
        <v>67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0</v>
      </c>
      <c r="AK72">
        <v>0</v>
      </c>
      <c r="AL72">
        <v>0</v>
      </c>
    </row>
    <row r="73" spans="1:38" ht="15.75">
      <c r="A73" s="1">
        <v>59</v>
      </c>
      <c r="B73" s="1" t="s">
        <v>22</v>
      </c>
      <c r="C73" s="1" t="s">
        <v>35</v>
      </c>
      <c r="D73" s="1" t="s">
        <v>67</v>
      </c>
      <c r="E73" s="1">
        <v>1</v>
      </c>
      <c r="G73">
        <v>68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3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</row>
    <row r="74" spans="1:38" ht="15.75">
      <c r="A74" s="1"/>
      <c r="B74" s="1" t="s">
        <v>7</v>
      </c>
      <c r="C74" s="1" t="s">
        <v>36</v>
      </c>
      <c r="D74" s="1" t="s">
        <v>67</v>
      </c>
      <c r="E74" s="1">
        <v>2</v>
      </c>
      <c r="G74">
        <v>69</v>
      </c>
      <c r="H74">
        <v>0</v>
      </c>
      <c r="I74">
        <v>0</v>
      </c>
      <c r="J74">
        <v>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</row>
    <row r="75" spans="1:38" ht="15.75">
      <c r="A75" s="1">
        <v>60</v>
      </c>
      <c r="B75" s="1">
        <v>0</v>
      </c>
      <c r="C75" s="1"/>
      <c r="D75" s="1"/>
      <c r="E75" s="1">
        <v>0</v>
      </c>
      <c r="G75">
        <v>70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</row>
    <row r="76" spans="1:38" ht="15.75">
      <c r="A76" s="1">
        <v>61</v>
      </c>
      <c r="B76" s="1" t="s">
        <v>7</v>
      </c>
      <c r="C76" s="1" t="s">
        <v>12</v>
      </c>
      <c r="D76" s="1" t="s">
        <v>13</v>
      </c>
      <c r="E76" s="1">
        <v>4</v>
      </c>
      <c r="G76">
        <v>71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3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</row>
    <row r="77" spans="1:38" ht="15.75">
      <c r="A77" s="1">
        <v>62</v>
      </c>
      <c r="B77" s="1">
        <v>0</v>
      </c>
      <c r="C77" s="1"/>
      <c r="D77" s="1"/>
      <c r="E77" s="1">
        <v>0</v>
      </c>
      <c r="G77">
        <v>72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2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</row>
    <row r="78" spans="1:38" ht="15.75">
      <c r="A78" s="1">
        <v>63</v>
      </c>
      <c r="B78" s="1" t="s">
        <v>7</v>
      </c>
      <c r="C78" s="1" t="s">
        <v>12</v>
      </c>
      <c r="D78" s="1" t="s">
        <v>13</v>
      </c>
      <c r="E78" s="1">
        <v>2</v>
      </c>
      <c r="G78">
        <v>73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</row>
    <row r="79" spans="1:38" ht="15.75">
      <c r="A79" s="1"/>
      <c r="B79" s="1" t="s">
        <v>7</v>
      </c>
      <c r="C79" s="1" t="s">
        <v>8</v>
      </c>
      <c r="D79" s="1" t="s">
        <v>18</v>
      </c>
      <c r="E79" s="1">
        <v>2</v>
      </c>
      <c r="G79">
        <v>74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</row>
    <row r="80" spans="1:38" ht="15.75">
      <c r="A80" s="1">
        <v>64</v>
      </c>
      <c r="B80" s="1" t="s">
        <v>19</v>
      </c>
      <c r="C80" s="1" t="s">
        <v>62</v>
      </c>
      <c r="D80" s="1" t="s">
        <v>67</v>
      </c>
      <c r="E80" s="1">
        <v>3</v>
      </c>
      <c r="G80">
        <v>75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</row>
    <row r="81" spans="1:38" ht="15.75">
      <c r="A81" s="1">
        <v>65</v>
      </c>
      <c r="B81" s="1" t="s">
        <v>39</v>
      </c>
      <c r="C81" s="1" t="s">
        <v>8</v>
      </c>
      <c r="D81" s="1" t="s">
        <v>18</v>
      </c>
      <c r="E81" s="1">
        <v>2</v>
      </c>
      <c r="G81">
        <v>76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</row>
    <row r="82" spans="1:38" ht="15.75">
      <c r="A82" s="1">
        <v>66</v>
      </c>
      <c r="B82" s="1" t="s">
        <v>7</v>
      </c>
      <c r="C82" s="1" t="s">
        <v>8</v>
      </c>
      <c r="D82" s="1" t="s">
        <v>18</v>
      </c>
      <c r="E82" s="1">
        <v>1</v>
      </c>
      <c r="G82">
        <v>77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</row>
    <row r="83" spans="1:38" ht="15.75">
      <c r="A83" s="1">
        <v>67</v>
      </c>
      <c r="B83" s="1" t="s">
        <v>22</v>
      </c>
      <c r="C83" s="1" t="s">
        <v>25</v>
      </c>
      <c r="D83" s="1" t="s">
        <v>67</v>
      </c>
      <c r="E83" s="1">
        <v>1</v>
      </c>
      <c r="G83">
        <v>78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2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</row>
    <row r="84" spans="1:38" ht="15.75">
      <c r="A84" s="1">
        <v>68</v>
      </c>
      <c r="B84" s="1" t="s">
        <v>7</v>
      </c>
      <c r="C84" s="1" t="s">
        <v>10</v>
      </c>
      <c r="D84" s="1" t="s">
        <v>18</v>
      </c>
      <c r="E84" s="1">
        <v>3</v>
      </c>
      <c r="G84">
        <v>79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</row>
    <row r="85" spans="1:38" ht="15.75">
      <c r="A85" s="1">
        <v>69</v>
      </c>
      <c r="B85" s="1" t="s">
        <v>19</v>
      </c>
      <c r="C85" s="1" t="s">
        <v>21</v>
      </c>
      <c r="D85" s="1" t="s">
        <v>64</v>
      </c>
      <c r="E85" s="1">
        <v>2</v>
      </c>
      <c r="G85">
        <v>80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3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</row>
    <row r="86" spans="1:39" ht="15.75">
      <c r="A86" s="1">
        <v>70</v>
      </c>
      <c r="B86" s="1" t="s">
        <v>7</v>
      </c>
      <c r="C86" s="1" t="s">
        <v>8</v>
      </c>
      <c r="D86" s="1" t="s">
        <v>18</v>
      </c>
      <c r="E86" s="1">
        <v>1</v>
      </c>
      <c r="H86">
        <f>SUM(H6:H85)</f>
        <v>1</v>
      </c>
      <c r="I86">
        <f aca="true" t="shared" si="0" ref="I86:AL86">SUM(I6:I85)</f>
        <v>1</v>
      </c>
      <c r="J86">
        <f t="shared" si="0"/>
        <v>6</v>
      </c>
      <c r="K86">
        <f t="shared" si="0"/>
        <v>0</v>
      </c>
      <c r="L86">
        <f t="shared" si="0"/>
        <v>4</v>
      </c>
      <c r="M86">
        <f t="shared" si="0"/>
        <v>0</v>
      </c>
      <c r="N86">
        <f t="shared" si="0"/>
        <v>7</v>
      </c>
      <c r="O86">
        <f t="shared" si="0"/>
        <v>0</v>
      </c>
      <c r="P86">
        <f t="shared" si="0"/>
        <v>10</v>
      </c>
      <c r="Q86">
        <f t="shared" si="0"/>
        <v>1</v>
      </c>
      <c r="R86">
        <f t="shared" si="0"/>
        <v>43</v>
      </c>
      <c r="S86">
        <f t="shared" si="0"/>
        <v>17</v>
      </c>
      <c r="T86">
        <f t="shared" si="0"/>
        <v>34</v>
      </c>
      <c r="U86">
        <f t="shared" si="0"/>
        <v>1</v>
      </c>
      <c r="V86">
        <f t="shared" si="0"/>
        <v>0</v>
      </c>
      <c r="W86">
        <f t="shared" si="0"/>
        <v>0</v>
      </c>
      <c r="X86">
        <f t="shared" si="0"/>
        <v>0</v>
      </c>
      <c r="Y86">
        <f t="shared" si="0"/>
        <v>0</v>
      </c>
      <c r="Z86">
        <f t="shared" si="0"/>
        <v>0</v>
      </c>
      <c r="AA86">
        <f t="shared" si="0"/>
        <v>0</v>
      </c>
      <c r="AB86">
        <f t="shared" si="0"/>
        <v>0</v>
      </c>
      <c r="AC86">
        <f t="shared" si="0"/>
        <v>26</v>
      </c>
      <c r="AD86">
        <f t="shared" si="0"/>
        <v>4</v>
      </c>
      <c r="AE86">
        <f t="shared" si="0"/>
        <v>2</v>
      </c>
      <c r="AF86">
        <f t="shared" si="0"/>
        <v>0</v>
      </c>
      <c r="AG86">
        <f t="shared" si="0"/>
        <v>0</v>
      </c>
      <c r="AH86">
        <f t="shared" si="0"/>
        <v>1</v>
      </c>
      <c r="AI86">
        <f t="shared" si="0"/>
        <v>1</v>
      </c>
      <c r="AJ86">
        <f t="shared" si="0"/>
        <v>3</v>
      </c>
      <c r="AK86">
        <f t="shared" si="0"/>
        <v>7</v>
      </c>
      <c r="AL86">
        <f t="shared" si="0"/>
        <v>41</v>
      </c>
      <c r="AM86">
        <f>SUM(H86:AL86)</f>
        <v>210</v>
      </c>
    </row>
    <row r="87" spans="1:5" ht="15.75">
      <c r="A87" s="1">
        <v>71</v>
      </c>
      <c r="B87" s="1" t="s">
        <v>7</v>
      </c>
      <c r="C87" s="1" t="s">
        <v>12</v>
      </c>
      <c r="D87" s="1" t="s">
        <v>13</v>
      </c>
      <c r="E87" s="1">
        <v>3</v>
      </c>
    </row>
    <row r="88" spans="1:5" ht="15.75">
      <c r="A88" s="1">
        <v>72</v>
      </c>
      <c r="B88" s="1" t="s">
        <v>7</v>
      </c>
      <c r="C88" s="1" t="s">
        <v>12</v>
      </c>
      <c r="D88" s="1" t="s">
        <v>13</v>
      </c>
      <c r="E88" s="1">
        <v>2</v>
      </c>
    </row>
    <row r="89" spans="1:5" ht="15.75">
      <c r="A89" s="1">
        <v>73</v>
      </c>
      <c r="B89" s="1">
        <v>0</v>
      </c>
      <c r="C89" s="1"/>
      <c r="D89" s="1"/>
      <c r="E89" s="1">
        <v>0</v>
      </c>
    </row>
    <row r="90" spans="1:5" ht="15.75">
      <c r="A90" s="1">
        <v>74</v>
      </c>
      <c r="B90" s="1">
        <v>0</v>
      </c>
      <c r="C90" s="1"/>
      <c r="D90" s="1"/>
      <c r="E90" s="1">
        <v>0</v>
      </c>
    </row>
    <row r="91" spans="1:5" ht="15.75">
      <c r="A91" s="1">
        <v>75</v>
      </c>
      <c r="B91" s="1">
        <v>0</v>
      </c>
      <c r="C91" s="1"/>
      <c r="D91" s="1"/>
      <c r="E91" s="1">
        <v>0</v>
      </c>
    </row>
    <row r="92" spans="1:5" ht="15.75">
      <c r="A92" s="1">
        <v>76</v>
      </c>
      <c r="B92" s="1">
        <v>0</v>
      </c>
      <c r="C92" s="1"/>
      <c r="D92" s="1"/>
      <c r="E92" s="1">
        <v>0</v>
      </c>
    </row>
    <row r="93" spans="1:5" ht="15.75">
      <c r="A93" s="1">
        <v>77</v>
      </c>
      <c r="B93" s="1">
        <v>0</v>
      </c>
      <c r="C93" s="1"/>
      <c r="D93" s="1"/>
      <c r="E93" s="1">
        <v>0</v>
      </c>
    </row>
    <row r="94" spans="1:5" ht="15.75">
      <c r="A94" s="1">
        <v>78</v>
      </c>
      <c r="B94" s="1" t="s">
        <v>7</v>
      </c>
      <c r="C94" s="1" t="s">
        <v>38</v>
      </c>
      <c r="D94" s="1" t="s">
        <v>13</v>
      </c>
      <c r="E94" s="1">
        <v>2</v>
      </c>
    </row>
    <row r="95" spans="1:5" ht="15.75">
      <c r="A95" s="1">
        <v>79</v>
      </c>
      <c r="B95" s="1" t="s">
        <v>22</v>
      </c>
      <c r="C95" s="1" t="s">
        <v>21</v>
      </c>
      <c r="D95" s="1" t="s">
        <v>9</v>
      </c>
      <c r="E95" s="1">
        <v>1</v>
      </c>
    </row>
    <row r="96" spans="1:5" ht="15.75">
      <c r="A96" s="1">
        <v>80</v>
      </c>
      <c r="B96" s="1" t="s">
        <v>7</v>
      </c>
      <c r="C96" s="1" t="s">
        <v>12</v>
      </c>
      <c r="D96" s="1" t="s">
        <v>13</v>
      </c>
      <c r="E96" s="1">
        <v>3</v>
      </c>
    </row>
    <row r="97" ht="15">
      <c r="E97">
        <f>SUM(E6:E96)</f>
        <v>210</v>
      </c>
    </row>
    <row r="99" spans="6:23" ht="15.75">
      <c r="F99" s="10"/>
      <c r="G99" s="87" t="s">
        <v>98</v>
      </c>
      <c r="H99" s="11" t="s">
        <v>6</v>
      </c>
      <c r="I99" s="11" t="s">
        <v>88</v>
      </c>
      <c r="J99" s="11" t="s">
        <v>3</v>
      </c>
      <c r="K99" s="11" t="s">
        <v>65</v>
      </c>
      <c r="L99" s="11" t="s">
        <v>66</v>
      </c>
      <c r="N99" s="65" t="s">
        <v>98</v>
      </c>
      <c r="O99" s="22" t="s">
        <v>6</v>
      </c>
      <c r="P99" s="22" t="s">
        <v>88</v>
      </c>
      <c r="Q99" s="22" t="s">
        <v>3</v>
      </c>
      <c r="R99" s="22" t="s">
        <v>65</v>
      </c>
      <c r="S99" s="22" t="s">
        <v>66</v>
      </c>
      <c r="T99" s="23" t="s">
        <v>79</v>
      </c>
      <c r="U99" s="23" t="s">
        <v>81</v>
      </c>
      <c r="V99" s="23" t="s">
        <v>80</v>
      </c>
      <c r="W99" s="23" t="s">
        <v>100</v>
      </c>
    </row>
    <row r="100" spans="7:23" ht="15.75">
      <c r="G100" s="3">
        <v>1</v>
      </c>
      <c r="H100" s="14" t="s">
        <v>22</v>
      </c>
      <c r="I100" s="14" t="s">
        <v>89</v>
      </c>
      <c r="J100" s="14" t="s">
        <v>21</v>
      </c>
      <c r="K100" s="14" t="s">
        <v>9</v>
      </c>
      <c r="L100" s="6">
        <f>SUM(E95)</f>
        <v>1</v>
      </c>
      <c r="N100" s="84">
        <v>1</v>
      </c>
      <c r="O100" s="8" t="s">
        <v>22</v>
      </c>
      <c r="P100" s="21" t="s">
        <v>89</v>
      </c>
      <c r="Q100" s="21" t="s">
        <v>21</v>
      </c>
      <c r="R100" s="21" t="s">
        <v>9</v>
      </c>
      <c r="S100" s="8">
        <v>1</v>
      </c>
      <c r="T100" s="19">
        <f>S100/210</f>
        <v>0.004761904761904762</v>
      </c>
      <c r="U100" s="20">
        <f>LN(T100)</f>
        <v>-5.3471075307174685</v>
      </c>
      <c r="V100" s="19">
        <f>T100*U100</f>
        <v>-0.025462416812940328</v>
      </c>
      <c r="W100" s="35">
        <f>T100^2</f>
        <v>2.267573696145125E-05</v>
      </c>
    </row>
    <row r="101" spans="7:23" ht="15.75">
      <c r="G101" s="3">
        <v>2</v>
      </c>
      <c r="H101" s="6"/>
      <c r="I101" s="14" t="s">
        <v>89</v>
      </c>
      <c r="J101" s="1" t="s">
        <v>21</v>
      </c>
      <c r="K101" s="1" t="s">
        <v>16</v>
      </c>
      <c r="L101" s="6">
        <f>SUM(E39)</f>
        <v>1</v>
      </c>
      <c r="N101" s="84">
        <v>2</v>
      </c>
      <c r="O101" s="8" t="s">
        <v>22</v>
      </c>
      <c r="P101" s="21" t="s">
        <v>89</v>
      </c>
      <c r="Q101" s="8" t="s">
        <v>21</v>
      </c>
      <c r="R101" s="8" t="s">
        <v>16</v>
      </c>
      <c r="S101" s="8">
        <v>1</v>
      </c>
      <c r="T101" s="19">
        <f aca="true" t="shared" si="1" ref="T101:T118">S101/210</f>
        <v>0.004761904761904762</v>
      </c>
      <c r="U101" s="20">
        <f aca="true" t="shared" si="2" ref="U101:U117">LN(T101)</f>
        <v>-5.3471075307174685</v>
      </c>
      <c r="V101" s="19">
        <f aca="true" t="shared" si="3" ref="V101:V118">T101*U101</f>
        <v>-0.025462416812940328</v>
      </c>
      <c r="W101" s="35">
        <f aca="true" t="shared" si="4" ref="W101:W118">T101^2</f>
        <v>2.267573696145125E-05</v>
      </c>
    </row>
    <row r="102" spans="7:23" ht="15.75">
      <c r="G102" s="3">
        <v>3</v>
      </c>
      <c r="H102" s="6" t="s">
        <v>28</v>
      </c>
      <c r="I102" s="6" t="s">
        <v>96</v>
      </c>
      <c r="J102" s="1" t="s">
        <v>35</v>
      </c>
      <c r="K102" s="6" t="s">
        <v>67</v>
      </c>
      <c r="L102" s="6">
        <f>SUM(E15,E73)</f>
        <v>2</v>
      </c>
      <c r="N102" s="84">
        <v>3</v>
      </c>
      <c r="O102" s="8" t="s">
        <v>19</v>
      </c>
      <c r="P102" s="21" t="s">
        <v>89</v>
      </c>
      <c r="Q102" s="21" t="s">
        <v>21</v>
      </c>
      <c r="R102" s="8" t="s">
        <v>64</v>
      </c>
      <c r="S102" s="8">
        <v>6</v>
      </c>
      <c r="T102" s="19">
        <f t="shared" si="1"/>
        <v>0.02857142857142857</v>
      </c>
      <c r="U102" s="20">
        <f t="shared" si="2"/>
        <v>-3.5553480614894135</v>
      </c>
      <c r="V102" s="19">
        <f t="shared" si="3"/>
        <v>-0.10158137318541181</v>
      </c>
      <c r="W102" s="35">
        <f t="shared" si="4"/>
        <v>0.0008163265306122448</v>
      </c>
    </row>
    <row r="103" spans="7:23" ht="15.75">
      <c r="G103" s="3">
        <v>4</v>
      </c>
      <c r="H103" s="6"/>
      <c r="I103" s="1" t="s">
        <v>95</v>
      </c>
      <c r="J103" s="6" t="s">
        <v>25</v>
      </c>
      <c r="K103" s="1" t="s">
        <v>69</v>
      </c>
      <c r="L103" s="6">
        <v>1</v>
      </c>
      <c r="N103" s="84">
        <v>4</v>
      </c>
      <c r="O103" s="8" t="s">
        <v>28</v>
      </c>
      <c r="P103" s="8" t="s">
        <v>89</v>
      </c>
      <c r="Q103" s="8" t="s">
        <v>26</v>
      </c>
      <c r="R103" s="8" t="s">
        <v>16</v>
      </c>
      <c r="S103" s="8">
        <v>4</v>
      </c>
      <c r="T103" s="19">
        <f t="shared" si="1"/>
        <v>0.01904761904761905</v>
      </c>
      <c r="U103" s="20">
        <f t="shared" si="2"/>
        <v>-3.960813169597578</v>
      </c>
      <c r="V103" s="19">
        <f t="shared" si="3"/>
        <v>-0.07544406037328721</v>
      </c>
      <c r="W103" s="35">
        <f t="shared" si="4"/>
        <v>0.00036281179138322</v>
      </c>
    </row>
    <row r="104" spans="7:23" ht="15.75">
      <c r="G104" s="3">
        <v>5</v>
      </c>
      <c r="H104" s="3"/>
      <c r="I104" s="1" t="s">
        <v>95</v>
      </c>
      <c r="J104" s="1" t="s">
        <v>25</v>
      </c>
      <c r="K104" s="1" t="s">
        <v>67</v>
      </c>
      <c r="L104" s="1">
        <v>1</v>
      </c>
      <c r="N104" s="84">
        <v>5</v>
      </c>
      <c r="O104" s="8" t="s">
        <v>28</v>
      </c>
      <c r="P104" s="8" t="s">
        <v>96</v>
      </c>
      <c r="Q104" s="8" t="s">
        <v>35</v>
      </c>
      <c r="R104" s="8" t="s">
        <v>67</v>
      </c>
      <c r="S104" s="8">
        <v>2</v>
      </c>
      <c r="T104" s="19">
        <f t="shared" si="1"/>
        <v>0.009523809523809525</v>
      </c>
      <c r="U104" s="20">
        <f t="shared" si="2"/>
        <v>-4.653960350157523</v>
      </c>
      <c r="V104" s="19">
        <f t="shared" si="3"/>
        <v>-0.04432343190626213</v>
      </c>
      <c r="W104" s="35">
        <f t="shared" si="4"/>
        <v>9.0702947845805E-05</v>
      </c>
    </row>
    <row r="105" spans="7:23" ht="15.75">
      <c r="G105" s="3">
        <v>6</v>
      </c>
      <c r="H105" s="6"/>
      <c r="I105" s="6" t="s">
        <v>93</v>
      </c>
      <c r="J105" s="6" t="s">
        <v>11</v>
      </c>
      <c r="K105" s="6" t="s">
        <v>60</v>
      </c>
      <c r="L105" s="6">
        <f>SUM(E16)</f>
        <v>7</v>
      </c>
      <c r="N105" s="84">
        <v>6</v>
      </c>
      <c r="O105" s="8" t="s">
        <v>7</v>
      </c>
      <c r="P105" s="21" t="s">
        <v>91</v>
      </c>
      <c r="Q105" s="8" t="s">
        <v>8</v>
      </c>
      <c r="R105" s="8" t="s">
        <v>37</v>
      </c>
      <c r="S105" s="8">
        <v>10</v>
      </c>
      <c r="T105" s="19">
        <f t="shared" si="1"/>
        <v>0.047619047619047616</v>
      </c>
      <c r="U105" s="20">
        <f t="shared" si="2"/>
        <v>-3.044522437723423</v>
      </c>
      <c r="V105" s="19">
        <f t="shared" si="3"/>
        <v>-0.14497725893921062</v>
      </c>
      <c r="W105" s="35">
        <f t="shared" si="4"/>
        <v>0.0022675736961451243</v>
      </c>
    </row>
    <row r="106" spans="7:23" ht="15.75">
      <c r="G106" s="3">
        <v>7</v>
      </c>
      <c r="H106" s="14" t="s">
        <v>7</v>
      </c>
      <c r="I106" s="14" t="s">
        <v>91</v>
      </c>
      <c r="J106" s="1" t="s">
        <v>8</v>
      </c>
      <c r="K106" s="1" t="s">
        <v>37</v>
      </c>
      <c r="L106" s="6">
        <f>SUM(E49,E54,E69)</f>
        <v>10</v>
      </c>
      <c r="N106" s="84">
        <v>7</v>
      </c>
      <c r="O106" s="8" t="s">
        <v>7</v>
      </c>
      <c r="P106" s="21" t="s">
        <v>91</v>
      </c>
      <c r="Q106" s="8" t="s">
        <v>8</v>
      </c>
      <c r="R106" s="8" t="s">
        <v>34</v>
      </c>
      <c r="S106" s="8">
        <v>1</v>
      </c>
      <c r="T106" s="19">
        <f t="shared" si="1"/>
        <v>0.004761904761904762</v>
      </c>
      <c r="U106" s="20">
        <f t="shared" si="2"/>
        <v>-5.3471075307174685</v>
      </c>
      <c r="V106" s="19">
        <f t="shared" si="3"/>
        <v>-0.025462416812940328</v>
      </c>
      <c r="W106" s="35">
        <f t="shared" si="4"/>
        <v>2.267573696145125E-05</v>
      </c>
    </row>
    <row r="107" spans="7:23" ht="15.75">
      <c r="G107" s="3">
        <v>8</v>
      </c>
      <c r="H107" s="6"/>
      <c r="I107" s="14" t="s">
        <v>91</v>
      </c>
      <c r="J107" s="1" t="s">
        <v>8</v>
      </c>
      <c r="K107" s="1" t="s">
        <v>34</v>
      </c>
      <c r="L107" s="6">
        <f>SUM(E13)</f>
        <v>1</v>
      </c>
      <c r="N107" s="84">
        <v>8</v>
      </c>
      <c r="O107" s="8" t="s">
        <v>7</v>
      </c>
      <c r="P107" s="21" t="s">
        <v>91</v>
      </c>
      <c r="Q107" s="8" t="s">
        <v>8</v>
      </c>
      <c r="R107" s="8" t="s">
        <v>18</v>
      </c>
      <c r="S107" s="8">
        <v>52</v>
      </c>
      <c r="T107" s="19">
        <f t="shared" si="1"/>
        <v>0.24761904761904763</v>
      </c>
      <c r="U107" s="20">
        <f t="shared" si="2"/>
        <v>-1.3958638121360414</v>
      </c>
      <c r="V107" s="19">
        <f t="shared" si="3"/>
        <v>-0.3456424677670198</v>
      </c>
      <c r="W107" s="35">
        <f t="shared" si="4"/>
        <v>0.06131519274376418</v>
      </c>
    </row>
    <row r="108" spans="7:23" ht="15.75">
      <c r="G108" s="3">
        <v>9</v>
      </c>
      <c r="H108" s="6"/>
      <c r="I108" s="14" t="s">
        <v>91</v>
      </c>
      <c r="J108" s="1" t="s">
        <v>8</v>
      </c>
      <c r="K108" s="1" t="s">
        <v>18</v>
      </c>
      <c r="L108" s="6">
        <f>SUM(E50,E51,E58,E61,E65,E66,E68,E70,E81,E79,E82,E84,E86,E55)</f>
        <v>52</v>
      </c>
      <c r="N108" s="84">
        <v>9</v>
      </c>
      <c r="O108" s="8" t="s">
        <v>7</v>
      </c>
      <c r="P108" s="21" t="s">
        <v>91</v>
      </c>
      <c r="Q108" s="8" t="s">
        <v>8</v>
      </c>
      <c r="R108" s="21" t="s">
        <v>9</v>
      </c>
      <c r="S108" s="8">
        <v>34</v>
      </c>
      <c r="T108" s="19">
        <f t="shared" si="1"/>
        <v>0.1619047619047619</v>
      </c>
      <c r="U108" s="20">
        <f t="shared" si="2"/>
        <v>-1.8207470061013074</v>
      </c>
      <c r="V108" s="19">
        <f t="shared" si="3"/>
        <v>-0.29478761051164026</v>
      </c>
      <c r="W108" s="35">
        <f t="shared" si="4"/>
        <v>0.026213151927437645</v>
      </c>
    </row>
    <row r="109" spans="7:23" ht="15.75">
      <c r="G109" s="3">
        <v>10</v>
      </c>
      <c r="H109" s="6"/>
      <c r="I109" s="14" t="s">
        <v>91</v>
      </c>
      <c r="J109" s="1" t="s">
        <v>8</v>
      </c>
      <c r="K109" s="14" t="s">
        <v>9</v>
      </c>
      <c r="L109" s="6">
        <f>SUM(E6,E9,E10,E14,E26,E31,E40,E43)</f>
        <v>34</v>
      </c>
      <c r="N109" s="84">
        <v>10</v>
      </c>
      <c r="O109" s="8" t="s">
        <v>7</v>
      </c>
      <c r="P109" s="21" t="s">
        <v>91</v>
      </c>
      <c r="Q109" s="8" t="s">
        <v>8</v>
      </c>
      <c r="R109" s="21" t="s">
        <v>16</v>
      </c>
      <c r="S109" s="8">
        <v>1</v>
      </c>
      <c r="T109" s="19">
        <f t="shared" si="1"/>
        <v>0.004761904761904762</v>
      </c>
      <c r="U109" s="20">
        <f t="shared" si="2"/>
        <v>-5.3471075307174685</v>
      </c>
      <c r="V109" s="19">
        <f t="shared" si="3"/>
        <v>-0.025462416812940328</v>
      </c>
      <c r="W109" s="35">
        <f t="shared" si="4"/>
        <v>2.267573696145125E-05</v>
      </c>
    </row>
    <row r="110" spans="7:23" ht="15.75">
      <c r="G110" s="3">
        <v>11</v>
      </c>
      <c r="H110" s="6"/>
      <c r="I110" s="14" t="s">
        <v>91</v>
      </c>
      <c r="J110" s="1" t="s">
        <v>8</v>
      </c>
      <c r="K110" s="14" t="s">
        <v>16</v>
      </c>
      <c r="L110" s="6">
        <f>SUM(E8)</f>
        <v>1</v>
      </c>
      <c r="N110" s="84">
        <v>11</v>
      </c>
      <c r="O110" s="8" t="s">
        <v>7</v>
      </c>
      <c r="P110" s="21" t="s">
        <v>91</v>
      </c>
      <c r="Q110" s="8" t="s">
        <v>12</v>
      </c>
      <c r="R110" s="8" t="s">
        <v>13</v>
      </c>
      <c r="S110" s="8">
        <v>26</v>
      </c>
      <c r="T110" s="19">
        <f t="shared" si="1"/>
        <v>0.12380952380952381</v>
      </c>
      <c r="U110" s="20">
        <f t="shared" si="2"/>
        <v>-2.089010992695987</v>
      </c>
      <c r="V110" s="19">
        <f t="shared" si="3"/>
        <v>-0.2586394562385508</v>
      </c>
      <c r="W110" s="35">
        <f t="shared" si="4"/>
        <v>0.015328798185941045</v>
      </c>
    </row>
    <row r="111" spans="7:23" ht="15.75">
      <c r="G111" s="3">
        <v>12</v>
      </c>
      <c r="H111" s="6"/>
      <c r="I111" s="14" t="s">
        <v>91</v>
      </c>
      <c r="J111" s="6" t="s">
        <v>12</v>
      </c>
      <c r="K111" s="1" t="s">
        <v>13</v>
      </c>
      <c r="L111" s="6">
        <f>SUM(E12,E21,E60,E76,E78,E87,E88,E94,E96,)</f>
        <v>26</v>
      </c>
      <c r="N111" s="84">
        <v>12</v>
      </c>
      <c r="O111" s="8" t="s">
        <v>7</v>
      </c>
      <c r="P111" s="21" t="s">
        <v>91</v>
      </c>
      <c r="Q111" s="8" t="s">
        <v>36</v>
      </c>
      <c r="R111" s="21" t="s">
        <v>67</v>
      </c>
      <c r="S111" s="8">
        <v>4</v>
      </c>
      <c r="T111" s="19">
        <f t="shared" si="1"/>
        <v>0.01904761904761905</v>
      </c>
      <c r="U111" s="20">
        <f t="shared" si="2"/>
        <v>-3.960813169597578</v>
      </c>
      <c r="V111" s="19">
        <f t="shared" si="3"/>
        <v>-0.07544406037328721</v>
      </c>
      <c r="W111" s="35">
        <f t="shared" si="4"/>
        <v>0.00036281179138322</v>
      </c>
    </row>
    <row r="112" spans="7:23" ht="15.75">
      <c r="G112" s="3">
        <v>13</v>
      </c>
      <c r="H112" s="6"/>
      <c r="I112" s="14" t="s">
        <v>91</v>
      </c>
      <c r="J112" s="1" t="s">
        <v>36</v>
      </c>
      <c r="K112" s="14" t="s">
        <v>67</v>
      </c>
      <c r="L112" s="6">
        <f>SUM(E23,E57,E74)</f>
        <v>4</v>
      </c>
      <c r="N112" s="84">
        <v>13</v>
      </c>
      <c r="O112" s="8" t="s">
        <v>28</v>
      </c>
      <c r="P112" s="8" t="s">
        <v>91</v>
      </c>
      <c r="Q112" s="8" t="s">
        <v>8</v>
      </c>
      <c r="R112" s="8" t="s">
        <v>30</v>
      </c>
      <c r="S112" s="8">
        <v>8</v>
      </c>
      <c r="T112" s="19">
        <f t="shared" si="1"/>
        <v>0.0380952380952381</v>
      </c>
      <c r="U112" s="20">
        <f t="shared" si="2"/>
        <v>-3.2676659890376327</v>
      </c>
      <c r="V112" s="19">
        <f t="shared" si="3"/>
        <v>-0.1244825138681003</v>
      </c>
      <c r="W112" s="35">
        <f t="shared" si="4"/>
        <v>0.00145124716553288</v>
      </c>
    </row>
    <row r="113" spans="7:23" ht="15.75">
      <c r="G113" s="3">
        <v>14</v>
      </c>
      <c r="H113" s="6" t="s">
        <v>28</v>
      </c>
      <c r="I113" s="6" t="s">
        <v>89</v>
      </c>
      <c r="J113" s="1" t="s">
        <v>26</v>
      </c>
      <c r="K113" s="1" t="s">
        <v>16</v>
      </c>
      <c r="L113" s="6">
        <f>SUM(E44,E47,)</f>
        <v>4</v>
      </c>
      <c r="N113" s="84">
        <v>14</v>
      </c>
      <c r="O113" s="8" t="s">
        <v>19</v>
      </c>
      <c r="P113" s="8" t="s">
        <v>91</v>
      </c>
      <c r="Q113" s="8" t="s">
        <v>20</v>
      </c>
      <c r="R113" s="21" t="s">
        <v>9</v>
      </c>
      <c r="S113" s="8">
        <v>7</v>
      </c>
      <c r="T113" s="19">
        <f t="shared" si="1"/>
        <v>0.03333333333333333</v>
      </c>
      <c r="U113" s="20">
        <f t="shared" si="2"/>
        <v>-3.4011973816621555</v>
      </c>
      <c r="V113" s="19">
        <f t="shared" si="3"/>
        <v>-0.11337324605540518</v>
      </c>
      <c r="W113" s="35">
        <f t="shared" si="4"/>
        <v>0.0011111111111111111</v>
      </c>
    </row>
    <row r="114" spans="7:23" ht="15.75">
      <c r="G114" s="3">
        <v>15</v>
      </c>
      <c r="H114" s="6"/>
      <c r="I114" s="6" t="s">
        <v>91</v>
      </c>
      <c r="J114" s="1" t="s">
        <v>8</v>
      </c>
      <c r="K114" s="1" t="s">
        <v>30</v>
      </c>
      <c r="L114" s="6">
        <f>SUM(E46,E48)</f>
        <v>8</v>
      </c>
      <c r="N114" s="84">
        <v>15</v>
      </c>
      <c r="O114" s="8" t="s">
        <v>22</v>
      </c>
      <c r="P114" s="8" t="s">
        <v>95</v>
      </c>
      <c r="Q114" s="8" t="s">
        <v>25</v>
      </c>
      <c r="R114" s="8" t="s">
        <v>69</v>
      </c>
      <c r="S114" s="8">
        <v>1</v>
      </c>
      <c r="T114" s="19">
        <f t="shared" si="1"/>
        <v>0.004761904761904762</v>
      </c>
      <c r="U114" s="20">
        <f t="shared" si="2"/>
        <v>-5.3471075307174685</v>
      </c>
      <c r="V114" s="19">
        <f t="shared" si="3"/>
        <v>-0.025462416812940328</v>
      </c>
      <c r="W114" s="35">
        <f t="shared" si="4"/>
        <v>2.267573696145125E-05</v>
      </c>
    </row>
    <row r="115" spans="7:23" ht="15.75">
      <c r="G115" s="3">
        <v>16</v>
      </c>
      <c r="H115" s="14" t="s">
        <v>19</v>
      </c>
      <c r="I115" s="14" t="s">
        <v>89</v>
      </c>
      <c r="J115" s="14" t="s">
        <v>21</v>
      </c>
      <c r="K115" s="1" t="s">
        <v>64</v>
      </c>
      <c r="L115" s="6">
        <f>SUM(E56,E59,E85,)</f>
        <v>6</v>
      </c>
      <c r="N115" s="84">
        <v>16</v>
      </c>
      <c r="O115" s="8" t="s">
        <v>22</v>
      </c>
      <c r="P115" s="8" t="s">
        <v>95</v>
      </c>
      <c r="Q115" s="8" t="s">
        <v>25</v>
      </c>
      <c r="R115" s="8" t="s">
        <v>67</v>
      </c>
      <c r="S115" s="8">
        <v>1</v>
      </c>
      <c r="T115" s="19">
        <f t="shared" si="1"/>
        <v>0.004761904761904762</v>
      </c>
      <c r="U115" s="20">
        <f t="shared" si="2"/>
        <v>-5.3471075307174685</v>
      </c>
      <c r="V115" s="19">
        <f t="shared" si="3"/>
        <v>-0.025462416812940328</v>
      </c>
      <c r="W115" s="35">
        <f t="shared" si="4"/>
        <v>2.267573696145125E-05</v>
      </c>
    </row>
    <row r="116" spans="7:23" ht="15.75">
      <c r="G116" s="3">
        <v>17</v>
      </c>
      <c r="H116" s="6"/>
      <c r="I116" s="6" t="s">
        <v>91</v>
      </c>
      <c r="J116" s="1" t="s">
        <v>20</v>
      </c>
      <c r="K116" s="14" t="s">
        <v>9</v>
      </c>
      <c r="L116" s="6">
        <f>SUM(E17,E18,)</f>
        <v>7</v>
      </c>
      <c r="N116" s="84">
        <v>17</v>
      </c>
      <c r="O116" s="8" t="s">
        <v>22</v>
      </c>
      <c r="P116" s="8" t="s">
        <v>93</v>
      </c>
      <c r="Q116" s="8" t="s">
        <v>11</v>
      </c>
      <c r="R116" s="8" t="s">
        <v>60</v>
      </c>
      <c r="S116" s="8">
        <v>7</v>
      </c>
      <c r="T116" s="19">
        <f t="shared" si="1"/>
        <v>0.03333333333333333</v>
      </c>
      <c r="U116" s="20">
        <f t="shared" si="2"/>
        <v>-3.4011973816621555</v>
      </c>
      <c r="V116" s="19">
        <f t="shared" si="3"/>
        <v>-0.11337324605540518</v>
      </c>
      <c r="W116" s="35">
        <f t="shared" si="4"/>
        <v>0.0011111111111111111</v>
      </c>
    </row>
    <row r="117" spans="7:23" ht="15.75">
      <c r="G117" s="3">
        <v>18</v>
      </c>
      <c r="H117" s="6"/>
      <c r="I117" s="6" t="s">
        <v>93</v>
      </c>
      <c r="J117" s="1" t="s">
        <v>62</v>
      </c>
      <c r="K117" s="14" t="s">
        <v>67</v>
      </c>
      <c r="L117" s="6">
        <f>SUM(E80)</f>
        <v>3</v>
      </c>
      <c r="N117" s="84">
        <v>18</v>
      </c>
      <c r="O117" s="8" t="s">
        <v>19</v>
      </c>
      <c r="P117" s="8" t="s">
        <v>93</v>
      </c>
      <c r="Q117" s="8" t="s">
        <v>62</v>
      </c>
      <c r="R117" s="21" t="s">
        <v>67</v>
      </c>
      <c r="S117" s="8">
        <v>3</v>
      </c>
      <c r="T117" s="19">
        <f t="shared" si="1"/>
        <v>0.014285714285714285</v>
      </c>
      <c r="U117" s="20">
        <f t="shared" si="2"/>
        <v>-4.248495242049359</v>
      </c>
      <c r="V117" s="19">
        <f t="shared" si="3"/>
        <v>-0.0606927891721337</v>
      </c>
      <c r="W117" s="35">
        <f t="shared" si="4"/>
        <v>0.0002040816326530612</v>
      </c>
    </row>
    <row r="118" spans="7:23" ht="15.75">
      <c r="G118" s="3">
        <v>19</v>
      </c>
      <c r="H118" s="6"/>
      <c r="I118" s="6" t="s">
        <v>93</v>
      </c>
      <c r="J118" s="1" t="s">
        <v>11</v>
      </c>
      <c r="K118" s="1" t="s">
        <v>67</v>
      </c>
      <c r="L118" s="6">
        <f>SUM(E7,E11,E22,E30,E41,E20)</f>
        <v>41</v>
      </c>
      <c r="N118" s="84">
        <v>19</v>
      </c>
      <c r="O118" s="8" t="s">
        <v>19</v>
      </c>
      <c r="P118" s="8" t="s">
        <v>93</v>
      </c>
      <c r="Q118" s="8" t="s">
        <v>11</v>
      </c>
      <c r="R118" s="8" t="s">
        <v>67</v>
      </c>
      <c r="S118" s="8">
        <v>41</v>
      </c>
      <c r="T118" s="19">
        <f t="shared" si="1"/>
        <v>0.19523809523809524</v>
      </c>
      <c r="U118" s="20">
        <f>LN(T118)</f>
        <v>-1.633535464013161</v>
      </c>
      <c r="V118" s="19">
        <f t="shared" si="3"/>
        <v>-0.3189283524978076</v>
      </c>
      <c r="W118" s="35">
        <f t="shared" si="4"/>
        <v>0.03811791383219955</v>
      </c>
    </row>
    <row r="119" spans="6:23" ht="15.75">
      <c r="F119" s="10"/>
      <c r="G119" s="87"/>
      <c r="H119" s="6"/>
      <c r="I119" s="6"/>
      <c r="J119" s="6"/>
      <c r="K119" s="6"/>
      <c r="L119" s="6">
        <f>SUM(L100:L118)</f>
        <v>210</v>
      </c>
      <c r="N119" s="165" t="s">
        <v>82</v>
      </c>
      <c r="O119" s="165"/>
      <c r="P119" s="165"/>
      <c r="Q119" s="165"/>
      <c r="R119" s="165"/>
      <c r="S119" s="47">
        <f>SUM(S100:S118)</f>
        <v>210</v>
      </c>
      <c r="T119" s="62">
        <f>SUM(T100:T118)</f>
        <v>0.9999999999999999</v>
      </c>
      <c r="U119" s="47"/>
      <c r="V119" s="63">
        <f>SUM(V100:V118)</f>
        <v>-2.224464367821163</v>
      </c>
      <c r="W119" s="63">
        <f>SUM(W100:W118)</f>
        <v>0.1488888888888889</v>
      </c>
    </row>
    <row r="120" spans="14:23" ht="15.75">
      <c r="N120" s="166" t="s">
        <v>83</v>
      </c>
      <c r="O120" s="166"/>
      <c r="P120" s="166"/>
      <c r="Q120" s="166"/>
      <c r="R120" s="166"/>
      <c r="S120" s="38"/>
      <c r="T120" s="39"/>
      <c r="U120" s="39"/>
      <c r="V120" s="40">
        <f>-(V119)</f>
        <v>2.224464367821163</v>
      </c>
      <c r="W120" s="39"/>
    </row>
    <row r="121" spans="14:23" ht="15.75">
      <c r="N121" s="167" t="s">
        <v>84</v>
      </c>
      <c r="O121" s="167"/>
      <c r="P121" s="167"/>
      <c r="Q121" s="167"/>
      <c r="R121" s="167"/>
      <c r="S121" s="41"/>
      <c r="T121" s="42"/>
      <c r="U121" s="42"/>
      <c r="V121" s="43">
        <f>V120/LN(12)</f>
        <v>0.8951903155037808</v>
      </c>
      <c r="W121" s="42"/>
    </row>
    <row r="122" spans="14:23" ht="15.75">
      <c r="N122" s="168" t="s">
        <v>85</v>
      </c>
      <c r="O122" s="168"/>
      <c r="P122" s="168"/>
      <c r="Q122" s="168"/>
      <c r="R122" s="168"/>
      <c r="S122" s="44"/>
      <c r="T122" s="45"/>
      <c r="U122" s="45"/>
      <c r="V122" s="46">
        <f>W119</f>
        <v>0.1488888888888889</v>
      </c>
      <c r="W122" s="45"/>
    </row>
    <row r="125" spans="14:19" ht="15">
      <c r="N125" t="s">
        <v>6</v>
      </c>
      <c r="O125" t="s">
        <v>137</v>
      </c>
      <c r="R125" t="s">
        <v>6</v>
      </c>
      <c r="S125" t="s">
        <v>138</v>
      </c>
    </row>
    <row r="126" spans="14:19" ht="15">
      <c r="N126" t="s">
        <v>22</v>
      </c>
      <c r="O126">
        <v>2</v>
      </c>
      <c r="R126" t="s">
        <v>22</v>
      </c>
      <c r="S126">
        <v>2</v>
      </c>
    </row>
    <row r="127" spans="14:19" ht="15">
      <c r="N127" t="s">
        <v>19</v>
      </c>
      <c r="O127">
        <v>4</v>
      </c>
      <c r="R127" t="s">
        <v>19</v>
      </c>
      <c r="S127">
        <f>SUM(L115:L118)</f>
        <v>57</v>
      </c>
    </row>
    <row r="128" spans="14:19" ht="15">
      <c r="N128" t="s">
        <v>7</v>
      </c>
      <c r="O128">
        <v>7</v>
      </c>
      <c r="R128" t="s">
        <v>7</v>
      </c>
      <c r="S128">
        <f>SUM(L106:L112)</f>
        <v>128</v>
      </c>
    </row>
    <row r="129" spans="14:19" ht="15">
      <c r="N129" t="s">
        <v>28</v>
      </c>
      <c r="O129">
        <v>6</v>
      </c>
      <c r="R129" t="s">
        <v>28</v>
      </c>
      <c r="S129">
        <f>SUM(L113:L114,L102,L103,L104,L105)</f>
        <v>23</v>
      </c>
    </row>
    <row r="130" ht="15">
      <c r="S130">
        <f>SUM(S126:S129)</f>
        <v>210</v>
      </c>
    </row>
    <row r="145" spans="6:16" ht="15.7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3:16" ht="15.75">
      <c r="C146" s="3" t="s">
        <v>88</v>
      </c>
      <c r="D146" s="3" t="s">
        <v>105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3:16" ht="15.75">
      <c r="C147" s="21" t="s">
        <v>89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3:16" ht="15.75">
      <c r="C148" s="8" t="s">
        <v>96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3:16" ht="15.75">
      <c r="C149" s="21" t="s">
        <v>91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3:16" ht="15.75">
      <c r="C150" s="8" t="s">
        <v>95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3:16" ht="15.75">
      <c r="C151" s="8" t="s">
        <v>93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</sheetData>
  <mergeCells count="7">
    <mergeCell ref="N119:R119"/>
    <mergeCell ref="N120:R120"/>
    <mergeCell ref="N121:R121"/>
    <mergeCell ref="N122:R122"/>
    <mergeCell ref="A1:C1"/>
    <mergeCell ref="A2:B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5"/>
  <sheetViews>
    <sheetView zoomScale="90" zoomScaleNormal="90" workbookViewId="0" topLeftCell="J1">
      <selection activeCell="AB8" sqref="AB8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12.00390625" style="0" customWidth="1"/>
    <col min="4" max="4" width="11.57421875" style="0" customWidth="1"/>
    <col min="5" max="5" width="13.00390625" style="0" customWidth="1"/>
    <col min="6" max="6" width="5.140625" style="0" customWidth="1"/>
    <col min="7" max="7" width="7.57421875" style="0" customWidth="1"/>
    <col min="8" max="8" width="8.57421875" style="0" customWidth="1"/>
    <col min="9" max="9" width="8.8515625" style="0" customWidth="1"/>
    <col min="10" max="10" width="8.7109375" style="0" customWidth="1"/>
    <col min="12" max="12" width="9.140625" style="0" customWidth="1"/>
    <col min="13" max="13" width="15.421875" style="0" customWidth="1"/>
    <col min="20" max="20" width="10.57421875" style="0" bestFit="1" customWidth="1"/>
  </cols>
  <sheetData>
    <row r="1" spans="1:13" ht="15">
      <c r="A1" t="s">
        <v>140</v>
      </c>
      <c r="L1" s="109"/>
      <c r="M1" s="109"/>
    </row>
    <row r="2" ht="15" customHeight="1"/>
    <row r="3" spans="1:28" ht="15.75">
      <c r="A3" s="65" t="s">
        <v>98</v>
      </c>
      <c r="B3" s="22" t="s">
        <v>6</v>
      </c>
      <c r="C3" s="22" t="s">
        <v>88</v>
      </c>
      <c r="D3" s="22" t="s">
        <v>3</v>
      </c>
      <c r="E3" s="22" t="s">
        <v>65</v>
      </c>
      <c r="F3" s="22" t="s">
        <v>66</v>
      </c>
      <c r="G3" s="23" t="s">
        <v>79</v>
      </c>
      <c r="H3" s="23" t="s">
        <v>81</v>
      </c>
      <c r="I3" s="23" t="s">
        <v>80</v>
      </c>
      <c r="J3" s="23" t="s">
        <v>100</v>
      </c>
      <c r="L3" s="27"/>
      <c r="M3" s="27" t="s">
        <v>160</v>
      </c>
      <c r="N3" s="27" t="s">
        <v>140</v>
      </c>
      <c r="O3" s="27" t="s">
        <v>141</v>
      </c>
      <c r="P3" s="27" t="s">
        <v>142</v>
      </c>
      <c r="Q3" s="27" t="s">
        <v>143</v>
      </c>
      <c r="R3" s="27" t="s">
        <v>144</v>
      </c>
      <c r="S3" s="27" t="s">
        <v>148</v>
      </c>
      <c r="U3" s="27"/>
      <c r="V3" s="27" t="s">
        <v>160</v>
      </c>
      <c r="W3" s="27" t="s">
        <v>140</v>
      </c>
      <c r="X3" s="27" t="s">
        <v>141</v>
      </c>
      <c r="Y3" s="27" t="s">
        <v>142</v>
      </c>
      <c r="Z3" s="27" t="s">
        <v>143</v>
      </c>
      <c r="AA3" s="27" t="s">
        <v>144</v>
      </c>
      <c r="AB3" s="27" t="s">
        <v>148</v>
      </c>
    </row>
    <row r="4" spans="1:28" ht="15.75">
      <c r="A4" s="139">
        <v>1</v>
      </c>
      <c r="B4" s="8" t="s">
        <v>158</v>
      </c>
      <c r="C4" s="21" t="s">
        <v>89</v>
      </c>
      <c r="D4" s="21" t="s">
        <v>21</v>
      </c>
      <c r="E4" s="21" t="s">
        <v>177</v>
      </c>
      <c r="F4" s="8">
        <v>1</v>
      </c>
      <c r="G4" s="19">
        <f>F4/210</f>
        <v>0.004761904761904762</v>
      </c>
      <c r="H4" s="20">
        <f>LN(G4)</f>
        <v>-5.3471075307174685</v>
      </c>
      <c r="I4" s="19">
        <f>G4*H4</f>
        <v>-0.025462416812940328</v>
      </c>
      <c r="J4" s="35">
        <f>G4^2</f>
        <v>2.267573696145125E-05</v>
      </c>
      <c r="M4" t="s">
        <v>158</v>
      </c>
      <c r="N4">
        <v>2</v>
      </c>
      <c r="O4">
        <v>1</v>
      </c>
      <c r="P4">
        <v>3</v>
      </c>
      <c r="Q4">
        <v>2</v>
      </c>
      <c r="R4">
        <v>1</v>
      </c>
      <c r="S4">
        <f>SUM(N4:R4)</f>
        <v>9</v>
      </c>
      <c r="V4" t="s">
        <v>158</v>
      </c>
      <c r="W4" s="88">
        <f>N4/M10</f>
        <v>0.0020833333333333333</v>
      </c>
      <c r="X4" s="88">
        <f>O4/N10</f>
        <v>0.0010416666666666667</v>
      </c>
      <c r="Y4" s="88">
        <f>P4/O10</f>
        <v>0.003125</v>
      </c>
      <c r="Z4" s="88">
        <f>Q4/P10</f>
        <v>0.0020833333333333333</v>
      </c>
      <c r="AA4" s="88">
        <f>R4/Q10</f>
        <v>0.0010416666666666667</v>
      </c>
      <c r="AB4" s="88">
        <v>0.009375</v>
      </c>
    </row>
    <row r="5" spans="1:28" ht="15.75">
      <c r="A5" s="139">
        <v>2</v>
      </c>
      <c r="B5" s="8" t="s">
        <v>22</v>
      </c>
      <c r="C5" s="21" t="s">
        <v>89</v>
      </c>
      <c r="D5" s="8" t="s">
        <v>21</v>
      </c>
      <c r="E5" s="8" t="s">
        <v>67</v>
      </c>
      <c r="F5" s="8">
        <v>1</v>
      </c>
      <c r="G5" s="19">
        <f>F5/210</f>
        <v>0.004761904761904762</v>
      </c>
      <c r="H5" s="20">
        <f>LN(G5)</f>
        <v>-5.3471075307174685</v>
      </c>
      <c r="I5" s="19">
        <f>G5*H5</f>
        <v>-0.025462416812940328</v>
      </c>
      <c r="J5" s="35">
        <f>G5^2</f>
        <v>2.267573696145125E-05</v>
      </c>
      <c r="M5" t="s">
        <v>28</v>
      </c>
      <c r="N5">
        <f>SUM(F6,F18,F19)</f>
        <v>6</v>
      </c>
      <c r="O5">
        <f>SUM(F49,F51)</f>
        <v>5</v>
      </c>
      <c r="P5">
        <f>SUM(F60,F71)</f>
        <v>18</v>
      </c>
      <c r="Q5">
        <f>SUM(F93)</f>
        <v>2</v>
      </c>
      <c r="R5">
        <v>0</v>
      </c>
      <c r="S5">
        <f>SUM(N5:R5)</f>
        <v>31</v>
      </c>
      <c r="V5" t="s">
        <v>28</v>
      </c>
      <c r="W5" s="88">
        <f>N5/M12</f>
        <v>0.00625</v>
      </c>
      <c r="X5" s="88">
        <f aca="true" t="shared" si="0" ref="W5:AA7">O5/N12</f>
        <v>0.005208333333333333</v>
      </c>
      <c r="Y5" s="88">
        <f t="shared" si="0"/>
        <v>0.01875</v>
      </c>
      <c r="Z5" s="88">
        <f t="shared" si="0"/>
        <v>0.0020833333333333333</v>
      </c>
      <c r="AA5" s="88">
        <f t="shared" si="0"/>
        <v>0</v>
      </c>
      <c r="AB5" s="88">
        <v>0.04583333333333333</v>
      </c>
    </row>
    <row r="6" spans="1:28" ht="15.75">
      <c r="A6" s="139">
        <v>3</v>
      </c>
      <c r="B6" s="8" t="s">
        <v>28</v>
      </c>
      <c r="C6" s="8" t="s">
        <v>89</v>
      </c>
      <c r="D6" s="8" t="s">
        <v>26</v>
      </c>
      <c r="E6" s="8" t="s">
        <v>67</v>
      </c>
      <c r="F6" s="8">
        <v>4</v>
      </c>
      <c r="G6" s="19">
        <f aca="true" t="shared" si="1" ref="G6:G22">F6/210</f>
        <v>0.01904761904761905</v>
      </c>
      <c r="H6" s="20">
        <f aca="true" t="shared" si="2" ref="H6:H22">LN(G6)</f>
        <v>-3.960813169597578</v>
      </c>
      <c r="I6" s="19">
        <f aca="true" t="shared" si="3" ref="I6:I22">G6*H6</f>
        <v>-0.07544406037328721</v>
      </c>
      <c r="J6" s="35">
        <f aca="true" t="shared" si="4" ref="J6:J22">G6^2</f>
        <v>0.00036281179138322</v>
      </c>
      <c r="M6" t="s">
        <v>19</v>
      </c>
      <c r="N6">
        <f>SUM(F7,F21)</f>
        <v>9</v>
      </c>
      <c r="O6">
        <f>SUM(F31)</f>
        <v>3</v>
      </c>
      <c r="P6">
        <f>SUM(F74,F61)</f>
        <v>20</v>
      </c>
      <c r="Q6">
        <v>0</v>
      </c>
      <c r="R6">
        <v>0</v>
      </c>
      <c r="S6">
        <f>SUM(N6:R6)</f>
        <v>32</v>
      </c>
      <c r="V6" t="s">
        <v>19</v>
      </c>
      <c r="W6" s="88">
        <f t="shared" si="0"/>
        <v>0.009375</v>
      </c>
      <c r="X6" s="88">
        <f t="shared" si="0"/>
        <v>0.003125</v>
      </c>
      <c r="Y6" s="88">
        <f t="shared" si="0"/>
        <v>0.020833333333333332</v>
      </c>
      <c r="Z6" s="88">
        <f t="shared" si="0"/>
        <v>0</v>
      </c>
      <c r="AA6" s="88">
        <f t="shared" si="0"/>
        <v>0</v>
      </c>
      <c r="AB6" s="88">
        <v>0.06041666666666667</v>
      </c>
    </row>
    <row r="7" spans="1:36" ht="15.75">
      <c r="A7" s="139">
        <v>4</v>
      </c>
      <c r="B7" s="8" t="s">
        <v>19</v>
      </c>
      <c r="C7" s="21" t="s">
        <v>89</v>
      </c>
      <c r="D7" s="21" t="s">
        <v>29</v>
      </c>
      <c r="E7" s="8" t="s">
        <v>67</v>
      </c>
      <c r="F7" s="8">
        <v>6</v>
      </c>
      <c r="G7" s="19">
        <f t="shared" si="1"/>
        <v>0.02857142857142857</v>
      </c>
      <c r="H7" s="20">
        <f t="shared" si="2"/>
        <v>-3.5553480614894135</v>
      </c>
      <c r="I7" s="19">
        <f t="shared" si="3"/>
        <v>-0.10158137318541181</v>
      </c>
      <c r="J7" s="35">
        <f t="shared" si="4"/>
        <v>0.0008163265306122448</v>
      </c>
      <c r="M7" t="s">
        <v>7</v>
      </c>
      <c r="N7">
        <f>SUM(F8:F16,F20,F22)</f>
        <v>191</v>
      </c>
      <c r="O7">
        <f>SUM(F32:F48,F50,F52)</f>
        <v>316</v>
      </c>
      <c r="P7">
        <f>SUM(F62:F70,F72:F73)</f>
        <v>159</v>
      </c>
      <c r="Q7">
        <f>SUM(F83:F92,F94:F95)</f>
        <v>98</v>
      </c>
      <c r="R7">
        <f>SUM(F104:F114)</f>
        <v>122</v>
      </c>
      <c r="S7">
        <f>SUM(N7:R7)</f>
        <v>886</v>
      </c>
      <c r="V7" t="s">
        <v>7</v>
      </c>
      <c r="W7" s="88">
        <f>N7/M14</f>
        <v>0.19895833333333332</v>
      </c>
      <c r="X7" s="88">
        <f t="shared" si="0"/>
        <v>0.32916666666666666</v>
      </c>
      <c r="Y7" s="88">
        <f t="shared" si="0"/>
        <v>0.165625</v>
      </c>
      <c r="Z7" s="88">
        <f t="shared" si="0"/>
        <v>0.10208333333333333</v>
      </c>
      <c r="AA7" s="88">
        <f t="shared" si="0"/>
        <v>0.12708333333333333</v>
      </c>
      <c r="AB7" s="88">
        <v>0.865625</v>
      </c>
      <c r="AD7" t="s">
        <v>7</v>
      </c>
      <c r="AE7" s="88">
        <v>0.19895833333333332</v>
      </c>
      <c r="AF7" s="88">
        <v>0.32916666666666666</v>
      </c>
      <c r="AG7" s="88">
        <v>0.165625</v>
      </c>
      <c r="AH7" s="88">
        <v>0.10208333333333333</v>
      </c>
      <c r="AI7" s="88">
        <v>0.12708333333333333</v>
      </c>
      <c r="AJ7" s="88">
        <v>0.865625</v>
      </c>
    </row>
    <row r="8" spans="1:28" ht="15.75">
      <c r="A8" s="139">
        <v>5</v>
      </c>
      <c r="B8" s="8" t="s">
        <v>7</v>
      </c>
      <c r="C8" s="8" t="s">
        <v>91</v>
      </c>
      <c r="D8" s="8" t="s">
        <v>20</v>
      </c>
      <c r="E8" s="21" t="s">
        <v>9</v>
      </c>
      <c r="F8" s="8">
        <v>7</v>
      </c>
      <c r="G8" s="19">
        <f t="shared" si="1"/>
        <v>0.03333333333333333</v>
      </c>
      <c r="H8" s="20">
        <f t="shared" si="2"/>
        <v>-3.4011973816621555</v>
      </c>
      <c r="I8" s="19">
        <f t="shared" si="3"/>
        <v>-0.11337324605540518</v>
      </c>
      <c r="J8" s="35">
        <f t="shared" si="4"/>
        <v>0.0011111111111111111</v>
      </c>
      <c r="M8" t="s">
        <v>159</v>
      </c>
      <c r="N8">
        <v>2</v>
      </c>
      <c r="O8">
        <v>0</v>
      </c>
      <c r="P8">
        <v>0</v>
      </c>
      <c r="Q8">
        <v>0</v>
      </c>
      <c r="R8">
        <v>0</v>
      </c>
      <c r="S8">
        <f>SUM(N8:R8)</f>
        <v>2</v>
      </c>
      <c r="V8" t="s">
        <v>159</v>
      </c>
      <c r="W8" s="88">
        <f>N8/M15</f>
        <v>0.0020833333333333333</v>
      </c>
      <c r="X8" s="88">
        <v>0</v>
      </c>
      <c r="Y8" s="88">
        <v>0</v>
      </c>
      <c r="Z8" s="88">
        <v>0</v>
      </c>
      <c r="AA8" s="88">
        <v>0</v>
      </c>
      <c r="AB8" s="88">
        <v>0.0020833333333333333</v>
      </c>
    </row>
    <row r="9" spans="1:19" ht="15.75">
      <c r="A9" s="139">
        <v>6</v>
      </c>
      <c r="B9" s="8" t="s">
        <v>7</v>
      </c>
      <c r="C9" s="21" t="s">
        <v>91</v>
      </c>
      <c r="D9" s="8" t="s">
        <v>8</v>
      </c>
      <c r="E9" s="8" t="s">
        <v>167</v>
      </c>
      <c r="F9" s="8">
        <v>10</v>
      </c>
      <c r="G9" s="19">
        <f t="shared" si="1"/>
        <v>0.047619047619047616</v>
      </c>
      <c r="H9" s="20">
        <f t="shared" si="2"/>
        <v>-3.044522437723423</v>
      </c>
      <c r="I9" s="19">
        <f t="shared" si="3"/>
        <v>-0.14497725893921062</v>
      </c>
      <c r="J9" s="35">
        <f t="shared" si="4"/>
        <v>0.0022675736961451243</v>
      </c>
      <c r="N9">
        <f aca="true" t="shared" si="5" ref="N9:S9">SUM(N4:N8)</f>
        <v>210</v>
      </c>
      <c r="O9">
        <f t="shared" si="5"/>
        <v>325</v>
      </c>
      <c r="P9">
        <f t="shared" si="5"/>
        <v>200</v>
      </c>
      <c r="Q9">
        <f t="shared" si="5"/>
        <v>102</v>
      </c>
      <c r="R9">
        <f t="shared" si="5"/>
        <v>123</v>
      </c>
      <c r="S9">
        <f t="shared" si="5"/>
        <v>960</v>
      </c>
    </row>
    <row r="10" spans="1:19" ht="15.75">
      <c r="A10" s="139">
        <v>7</v>
      </c>
      <c r="B10" s="8" t="s">
        <v>7</v>
      </c>
      <c r="C10" s="21" t="s">
        <v>91</v>
      </c>
      <c r="D10" s="8" t="s">
        <v>8</v>
      </c>
      <c r="E10" s="8" t="s">
        <v>168</v>
      </c>
      <c r="F10" s="8">
        <v>1</v>
      </c>
      <c r="G10" s="19">
        <f t="shared" si="1"/>
        <v>0.004761904761904762</v>
      </c>
      <c r="H10" s="20">
        <f t="shared" si="2"/>
        <v>-5.3471075307174685</v>
      </c>
      <c r="I10" s="19">
        <f t="shared" si="3"/>
        <v>-0.025462416812940328</v>
      </c>
      <c r="J10" s="35">
        <f t="shared" si="4"/>
        <v>2.267573696145125E-05</v>
      </c>
      <c r="M10">
        <v>960</v>
      </c>
      <c r="N10">
        <v>960</v>
      </c>
      <c r="O10">
        <v>960</v>
      </c>
      <c r="P10">
        <v>960</v>
      </c>
      <c r="Q10">
        <v>960</v>
      </c>
      <c r="R10">
        <v>960</v>
      </c>
      <c r="S10">
        <v>960</v>
      </c>
    </row>
    <row r="11" spans="1:19" ht="15.75">
      <c r="A11" s="139">
        <v>8</v>
      </c>
      <c r="B11" s="8" t="s">
        <v>7</v>
      </c>
      <c r="C11" s="21" t="s">
        <v>91</v>
      </c>
      <c r="D11" s="8" t="s">
        <v>8</v>
      </c>
      <c r="E11" s="8" t="s">
        <v>169</v>
      </c>
      <c r="F11" s="8">
        <v>52</v>
      </c>
      <c r="G11" s="19">
        <f t="shared" si="1"/>
        <v>0.24761904761904763</v>
      </c>
      <c r="H11" s="20">
        <f t="shared" si="2"/>
        <v>-1.3958638121360414</v>
      </c>
      <c r="I11" s="19">
        <f t="shared" si="3"/>
        <v>-0.3456424677670198</v>
      </c>
      <c r="J11" s="35">
        <f t="shared" si="4"/>
        <v>0.06131519274376418</v>
      </c>
      <c r="M11">
        <v>960</v>
      </c>
      <c r="N11">
        <v>960</v>
      </c>
      <c r="O11">
        <v>960</v>
      </c>
      <c r="P11">
        <v>960</v>
      </c>
      <c r="Q11">
        <v>960</v>
      </c>
      <c r="R11">
        <v>960</v>
      </c>
      <c r="S11">
        <v>960</v>
      </c>
    </row>
    <row r="12" spans="1:19" ht="15.75">
      <c r="A12" s="139">
        <v>9</v>
      </c>
      <c r="B12" s="8" t="s">
        <v>7</v>
      </c>
      <c r="C12" s="21" t="s">
        <v>91</v>
      </c>
      <c r="D12" s="8" t="s">
        <v>8</v>
      </c>
      <c r="E12" s="21" t="s">
        <v>9</v>
      </c>
      <c r="F12" s="8">
        <v>34</v>
      </c>
      <c r="G12" s="19">
        <f t="shared" si="1"/>
        <v>0.1619047619047619</v>
      </c>
      <c r="H12" s="20">
        <f t="shared" si="2"/>
        <v>-1.8207470061013074</v>
      </c>
      <c r="I12" s="19">
        <f t="shared" si="3"/>
        <v>-0.29478761051164026</v>
      </c>
      <c r="J12" s="35">
        <f t="shared" si="4"/>
        <v>0.026213151927437645</v>
      </c>
      <c r="M12">
        <v>960</v>
      </c>
      <c r="N12">
        <v>960</v>
      </c>
      <c r="O12">
        <v>960</v>
      </c>
      <c r="P12">
        <v>960</v>
      </c>
      <c r="Q12">
        <v>960</v>
      </c>
      <c r="R12">
        <v>960</v>
      </c>
      <c r="S12">
        <v>960</v>
      </c>
    </row>
    <row r="13" spans="1:19" ht="15.75">
      <c r="A13" s="139">
        <v>10</v>
      </c>
      <c r="B13" s="8" t="s">
        <v>7</v>
      </c>
      <c r="C13" s="21" t="s">
        <v>91</v>
      </c>
      <c r="D13" s="8" t="s">
        <v>8</v>
      </c>
      <c r="E13" s="21" t="s">
        <v>16</v>
      </c>
      <c r="F13" s="8">
        <v>1</v>
      </c>
      <c r="G13" s="19">
        <f t="shared" si="1"/>
        <v>0.004761904761904762</v>
      </c>
      <c r="H13" s="20">
        <f t="shared" si="2"/>
        <v>-5.3471075307174685</v>
      </c>
      <c r="I13" s="19">
        <f t="shared" si="3"/>
        <v>-0.025462416812940328</v>
      </c>
      <c r="J13" s="35">
        <f t="shared" si="4"/>
        <v>2.267573696145125E-05</v>
      </c>
      <c r="M13">
        <v>960</v>
      </c>
      <c r="N13">
        <v>960</v>
      </c>
      <c r="O13">
        <v>960</v>
      </c>
      <c r="P13">
        <v>960</v>
      </c>
      <c r="Q13">
        <v>960</v>
      </c>
      <c r="R13">
        <v>960</v>
      </c>
      <c r="S13">
        <v>960</v>
      </c>
    </row>
    <row r="14" spans="1:19" ht="15.75">
      <c r="A14" s="139">
        <v>11</v>
      </c>
      <c r="B14" s="8" t="s">
        <v>7</v>
      </c>
      <c r="C14" s="8" t="s">
        <v>91</v>
      </c>
      <c r="D14" s="8" t="s">
        <v>8</v>
      </c>
      <c r="E14" s="8" t="s">
        <v>170</v>
      </c>
      <c r="F14" s="8">
        <v>8</v>
      </c>
      <c r="G14" s="19">
        <f t="shared" si="1"/>
        <v>0.0380952380952381</v>
      </c>
      <c r="H14" s="20">
        <f t="shared" si="2"/>
        <v>-3.2676659890376327</v>
      </c>
      <c r="I14" s="19">
        <f t="shared" si="3"/>
        <v>-0.1244825138681003</v>
      </c>
      <c r="J14" s="35">
        <f t="shared" si="4"/>
        <v>0.00145124716553288</v>
      </c>
      <c r="M14">
        <v>960</v>
      </c>
      <c r="N14">
        <v>960</v>
      </c>
      <c r="O14">
        <v>960</v>
      </c>
      <c r="P14">
        <v>960</v>
      </c>
      <c r="Q14">
        <v>960</v>
      </c>
      <c r="R14">
        <v>960</v>
      </c>
      <c r="S14">
        <v>960</v>
      </c>
    </row>
    <row r="15" spans="1:19" ht="15.75">
      <c r="A15" s="139">
        <v>12</v>
      </c>
      <c r="B15" s="8" t="s">
        <v>7</v>
      </c>
      <c r="C15" s="21" t="s">
        <v>91</v>
      </c>
      <c r="D15" s="8" t="s">
        <v>12</v>
      </c>
      <c r="E15" s="8" t="s">
        <v>172</v>
      </c>
      <c r="F15" s="8">
        <v>26</v>
      </c>
      <c r="G15" s="19">
        <f t="shared" si="1"/>
        <v>0.12380952380952381</v>
      </c>
      <c r="H15" s="20">
        <f t="shared" si="2"/>
        <v>-2.089010992695987</v>
      </c>
      <c r="I15" s="19">
        <f t="shared" si="3"/>
        <v>-0.2586394562385508</v>
      </c>
      <c r="J15" s="35">
        <f t="shared" si="4"/>
        <v>0.015328798185941045</v>
      </c>
      <c r="M15">
        <v>960</v>
      </c>
      <c r="N15">
        <v>960</v>
      </c>
      <c r="O15">
        <v>960</v>
      </c>
      <c r="P15">
        <v>960</v>
      </c>
      <c r="Q15">
        <v>960</v>
      </c>
      <c r="R15">
        <v>960</v>
      </c>
      <c r="S15">
        <v>960</v>
      </c>
    </row>
    <row r="16" spans="1:19" ht="15.75">
      <c r="A16" s="139">
        <v>13</v>
      </c>
      <c r="B16" s="8" t="s">
        <v>7</v>
      </c>
      <c r="C16" s="21" t="s">
        <v>91</v>
      </c>
      <c r="D16" s="8" t="s">
        <v>36</v>
      </c>
      <c r="E16" s="21" t="s">
        <v>67</v>
      </c>
      <c r="F16" s="8">
        <v>4</v>
      </c>
      <c r="G16" s="19">
        <f t="shared" si="1"/>
        <v>0.01904761904761905</v>
      </c>
      <c r="H16" s="20">
        <f t="shared" si="2"/>
        <v>-3.960813169597578</v>
      </c>
      <c r="I16" s="19">
        <f t="shared" si="3"/>
        <v>-0.07544406037328721</v>
      </c>
      <c r="J16" s="35">
        <f t="shared" si="4"/>
        <v>0.00036281179138322</v>
      </c>
      <c r="M16">
        <v>960</v>
      </c>
      <c r="N16">
        <v>960</v>
      </c>
      <c r="O16">
        <v>960</v>
      </c>
      <c r="P16">
        <v>960</v>
      </c>
      <c r="Q16">
        <v>960</v>
      </c>
      <c r="R16">
        <v>960</v>
      </c>
      <c r="S16">
        <v>960</v>
      </c>
    </row>
    <row r="17" spans="1:19" ht="15.75">
      <c r="A17" s="139">
        <v>14</v>
      </c>
      <c r="B17" s="8" t="s">
        <v>159</v>
      </c>
      <c r="C17" s="8" t="s">
        <v>96</v>
      </c>
      <c r="D17" s="8" t="s">
        <v>35</v>
      </c>
      <c r="E17" s="8" t="s">
        <v>67</v>
      </c>
      <c r="F17" s="8">
        <v>2</v>
      </c>
      <c r="G17" s="19">
        <f t="shared" si="1"/>
        <v>0.009523809523809525</v>
      </c>
      <c r="H17" s="20">
        <f t="shared" si="2"/>
        <v>-4.653960350157523</v>
      </c>
      <c r="I17" s="19">
        <f t="shared" si="3"/>
        <v>-0.04432343190626213</v>
      </c>
      <c r="J17" s="35">
        <f t="shared" si="4"/>
        <v>9.0702947845805E-05</v>
      </c>
      <c r="M17">
        <v>960</v>
      </c>
      <c r="N17">
        <v>960</v>
      </c>
      <c r="O17">
        <v>960</v>
      </c>
      <c r="P17">
        <v>960</v>
      </c>
      <c r="Q17">
        <v>960</v>
      </c>
      <c r="R17">
        <v>960</v>
      </c>
      <c r="S17">
        <v>960</v>
      </c>
    </row>
    <row r="18" spans="1:10" ht="15.75">
      <c r="A18" s="139">
        <v>15</v>
      </c>
      <c r="B18" s="8" t="s">
        <v>28</v>
      </c>
      <c r="C18" s="8" t="s">
        <v>95</v>
      </c>
      <c r="D18" s="8" t="s">
        <v>25</v>
      </c>
      <c r="E18" s="8" t="s">
        <v>175</v>
      </c>
      <c r="F18" s="8">
        <v>1</v>
      </c>
      <c r="G18" s="19">
        <f t="shared" si="1"/>
        <v>0.004761904761904762</v>
      </c>
      <c r="H18" s="20">
        <f t="shared" si="2"/>
        <v>-5.3471075307174685</v>
      </c>
      <c r="I18" s="19">
        <f t="shared" si="3"/>
        <v>-0.025462416812940328</v>
      </c>
      <c r="J18" s="35">
        <f t="shared" si="4"/>
        <v>2.267573696145125E-05</v>
      </c>
    </row>
    <row r="19" spans="1:10" ht="15.75">
      <c r="A19" s="139">
        <v>16</v>
      </c>
      <c r="B19" s="8" t="s">
        <v>28</v>
      </c>
      <c r="C19" s="8" t="s">
        <v>95</v>
      </c>
      <c r="D19" s="8" t="s">
        <v>25</v>
      </c>
      <c r="E19" s="8" t="s">
        <v>67</v>
      </c>
      <c r="F19" s="8">
        <v>1</v>
      </c>
      <c r="G19" s="19">
        <f t="shared" si="1"/>
        <v>0.004761904761904762</v>
      </c>
      <c r="H19" s="20">
        <f t="shared" si="2"/>
        <v>-5.3471075307174685</v>
      </c>
      <c r="I19" s="19">
        <f t="shared" si="3"/>
        <v>-0.025462416812940328</v>
      </c>
      <c r="J19" s="35">
        <f t="shared" si="4"/>
        <v>2.267573696145125E-05</v>
      </c>
    </row>
    <row r="20" spans="1:10" ht="15.75">
      <c r="A20" s="139">
        <v>17</v>
      </c>
      <c r="B20" s="8" t="s">
        <v>7</v>
      </c>
      <c r="C20" s="8" t="s">
        <v>93</v>
      </c>
      <c r="D20" s="8" t="s">
        <v>11</v>
      </c>
      <c r="E20" s="8" t="s">
        <v>60</v>
      </c>
      <c r="F20" s="8">
        <v>7</v>
      </c>
      <c r="G20" s="19">
        <f t="shared" si="1"/>
        <v>0.03333333333333333</v>
      </c>
      <c r="H20" s="20">
        <f t="shared" si="2"/>
        <v>-3.4011973816621555</v>
      </c>
      <c r="I20" s="19">
        <f t="shared" si="3"/>
        <v>-0.11337324605540518</v>
      </c>
      <c r="J20" s="35">
        <f t="shared" si="4"/>
        <v>0.0011111111111111111</v>
      </c>
    </row>
    <row r="21" spans="1:10" ht="15.75">
      <c r="A21" s="139">
        <v>18</v>
      </c>
      <c r="B21" s="8" t="s">
        <v>19</v>
      </c>
      <c r="C21" s="8" t="s">
        <v>93</v>
      </c>
      <c r="D21" s="8" t="s">
        <v>62</v>
      </c>
      <c r="E21" s="21" t="s">
        <v>67</v>
      </c>
      <c r="F21" s="8">
        <v>3</v>
      </c>
      <c r="G21" s="19">
        <f t="shared" si="1"/>
        <v>0.014285714285714285</v>
      </c>
      <c r="H21" s="20">
        <f t="shared" si="2"/>
        <v>-4.248495242049359</v>
      </c>
      <c r="I21" s="19">
        <f t="shared" si="3"/>
        <v>-0.0606927891721337</v>
      </c>
      <c r="J21" s="35">
        <f t="shared" si="4"/>
        <v>0.0002040816326530612</v>
      </c>
    </row>
    <row r="22" spans="1:10" ht="15.75">
      <c r="A22" s="139">
        <v>19</v>
      </c>
      <c r="B22" s="8" t="s">
        <v>7</v>
      </c>
      <c r="C22" s="8" t="s">
        <v>93</v>
      </c>
      <c r="D22" s="8" t="s">
        <v>11</v>
      </c>
      <c r="E22" s="8" t="s">
        <v>67</v>
      </c>
      <c r="F22" s="8">
        <v>41</v>
      </c>
      <c r="G22" s="19">
        <f t="shared" si="1"/>
        <v>0.19523809523809524</v>
      </c>
      <c r="H22" s="20">
        <f t="shared" si="2"/>
        <v>-1.633535464013161</v>
      </c>
      <c r="I22" s="19">
        <f t="shared" si="3"/>
        <v>-0.3189283524978076</v>
      </c>
      <c r="J22" s="35">
        <f t="shared" si="4"/>
        <v>0.03811791383219955</v>
      </c>
    </row>
    <row r="23" spans="1:10" ht="15.75">
      <c r="A23" s="165" t="s">
        <v>82</v>
      </c>
      <c r="B23" s="165"/>
      <c r="C23" s="165"/>
      <c r="D23" s="165"/>
      <c r="E23" s="165"/>
      <c r="F23" s="47">
        <f>SUM(F4:F22)</f>
        <v>210</v>
      </c>
      <c r="G23" s="62">
        <f>SUM(G4:G22)</f>
        <v>0.9999999999999999</v>
      </c>
      <c r="H23" s="47"/>
      <c r="I23" s="63">
        <f>SUM(I4:I22)</f>
        <v>-2.2244643678211635</v>
      </c>
      <c r="J23" s="63">
        <f>SUM(J4:J22)</f>
        <v>0.1488888888888889</v>
      </c>
    </row>
    <row r="24" spans="1:10" ht="15.75">
      <c r="A24" s="166" t="s">
        <v>83</v>
      </c>
      <c r="B24" s="166"/>
      <c r="C24" s="166"/>
      <c r="D24" s="166"/>
      <c r="E24" s="166"/>
      <c r="F24" s="38"/>
      <c r="G24" s="39"/>
      <c r="H24" s="39"/>
      <c r="I24" s="40">
        <f>-(I23)</f>
        <v>2.2244643678211635</v>
      </c>
      <c r="J24" s="39"/>
    </row>
    <row r="25" spans="1:10" ht="15.75">
      <c r="A25" s="167" t="s">
        <v>84</v>
      </c>
      <c r="B25" s="167"/>
      <c r="C25" s="167"/>
      <c r="D25" s="167"/>
      <c r="E25" s="167"/>
      <c r="F25" s="41"/>
      <c r="G25" s="42"/>
      <c r="H25" s="42"/>
      <c r="I25" s="43">
        <f>I24/LN(19)</f>
        <v>0.7554798668135079</v>
      </c>
      <c r="J25" s="42"/>
    </row>
    <row r="26" spans="1:10" ht="15.75">
      <c r="A26" s="168" t="s">
        <v>85</v>
      </c>
      <c r="B26" s="168"/>
      <c r="C26" s="168"/>
      <c r="D26" s="168"/>
      <c r="E26" s="168"/>
      <c r="F26" s="44"/>
      <c r="G26" s="45"/>
      <c r="H26" s="45"/>
      <c r="I26" s="46">
        <f>J23</f>
        <v>0.1488888888888889</v>
      </c>
      <c r="J26" s="45"/>
    </row>
    <row r="28" ht="15">
      <c r="A28" t="s">
        <v>141</v>
      </c>
    </row>
    <row r="29" spans="1:10" ht="15.75">
      <c r="A29" s="65" t="s">
        <v>98</v>
      </c>
      <c r="B29" s="37" t="s">
        <v>6</v>
      </c>
      <c r="C29" s="37" t="s">
        <v>88</v>
      </c>
      <c r="D29" s="37" t="s">
        <v>3</v>
      </c>
      <c r="E29" s="37" t="s">
        <v>65</v>
      </c>
      <c r="F29" s="37" t="s">
        <v>66</v>
      </c>
      <c r="G29" s="28" t="s">
        <v>79</v>
      </c>
      <c r="H29" s="28" t="s">
        <v>81</v>
      </c>
      <c r="I29" s="28" t="s">
        <v>80</v>
      </c>
      <c r="J29" s="28" t="s">
        <v>100</v>
      </c>
    </row>
    <row r="30" spans="1:20" ht="15.75">
      <c r="A30" s="139">
        <v>1</v>
      </c>
      <c r="B30" s="59" t="s">
        <v>158</v>
      </c>
      <c r="C30" s="59" t="s">
        <v>89</v>
      </c>
      <c r="D30" s="59" t="s">
        <v>21</v>
      </c>
      <c r="E30" s="59" t="s">
        <v>67</v>
      </c>
      <c r="F30" s="138">
        <v>1</v>
      </c>
      <c r="G30" s="62">
        <f>F30/325</f>
        <v>0.003076923076923077</v>
      </c>
      <c r="H30" s="63">
        <f>LN(G30)</f>
        <v>-5.783825182329737</v>
      </c>
      <c r="I30" s="63">
        <f>G30*H30</f>
        <v>-0.017796385176399192</v>
      </c>
      <c r="J30" s="48">
        <f>G30^2</f>
        <v>9.467455621301774E-06</v>
      </c>
      <c r="M30" s="88"/>
      <c r="N30" s="88"/>
      <c r="O30" s="88"/>
      <c r="P30" s="88"/>
      <c r="Q30" s="88"/>
      <c r="R30" s="88"/>
      <c r="T30" s="126"/>
    </row>
    <row r="31" spans="1:25" ht="15.75">
      <c r="A31" s="139">
        <v>2</v>
      </c>
      <c r="B31" s="21" t="s">
        <v>19</v>
      </c>
      <c r="C31" s="21" t="s">
        <v>89</v>
      </c>
      <c r="D31" s="21" t="s">
        <v>29</v>
      </c>
      <c r="E31" s="8" t="s">
        <v>67</v>
      </c>
      <c r="F31" s="139">
        <v>3</v>
      </c>
      <c r="G31" s="19">
        <f aca="true" t="shared" si="6" ref="G31:G52">F31/325</f>
        <v>0.009230769230769232</v>
      </c>
      <c r="H31" s="20">
        <f aca="true" t="shared" si="7" ref="H31:H52">LN(G31)</f>
        <v>-4.685212893661627</v>
      </c>
      <c r="I31" s="20">
        <f aca="true" t="shared" si="8" ref="I31:I52">G31*H31</f>
        <v>-0.04324811901841503</v>
      </c>
      <c r="J31" s="35">
        <f aca="true" t="shared" si="9" ref="J31:J52">G31^2</f>
        <v>8.520710059171599E-05</v>
      </c>
      <c r="L31" s="27"/>
      <c r="M31" s="88"/>
      <c r="N31" s="88"/>
      <c r="O31" s="88"/>
      <c r="P31" s="88"/>
      <c r="Q31" s="88"/>
      <c r="R31" s="88"/>
      <c r="U31" s="126"/>
      <c r="V31" s="126"/>
      <c r="W31" s="126"/>
      <c r="X31" s="126"/>
      <c r="Y31" s="126"/>
    </row>
    <row r="32" spans="1:18" ht="15.75">
      <c r="A32" s="139">
        <v>3</v>
      </c>
      <c r="B32" s="8" t="s">
        <v>7</v>
      </c>
      <c r="C32" s="8" t="s">
        <v>91</v>
      </c>
      <c r="D32" s="8" t="s">
        <v>20</v>
      </c>
      <c r="E32" s="21" t="s">
        <v>9</v>
      </c>
      <c r="F32" s="139">
        <v>4</v>
      </c>
      <c r="G32" s="19">
        <f t="shared" si="6"/>
        <v>0.012307692307692308</v>
      </c>
      <c r="H32" s="20">
        <f t="shared" si="7"/>
        <v>-4.3975308212098465</v>
      </c>
      <c r="I32" s="20">
        <f t="shared" si="8"/>
        <v>-0.05412345626104426</v>
      </c>
      <c r="J32" s="35">
        <f t="shared" si="9"/>
        <v>0.0001514792899408284</v>
      </c>
      <c r="M32" s="88"/>
      <c r="N32" s="88"/>
      <c r="O32" s="88"/>
      <c r="P32" s="88"/>
      <c r="Q32" s="88"/>
      <c r="R32" s="88"/>
    </row>
    <row r="33" spans="1:18" ht="15.75">
      <c r="A33" s="139">
        <v>4</v>
      </c>
      <c r="B33" s="8" t="s">
        <v>7</v>
      </c>
      <c r="C33" s="21" t="s">
        <v>91</v>
      </c>
      <c r="D33" s="8" t="s">
        <v>20</v>
      </c>
      <c r="E33" s="21" t="s">
        <v>16</v>
      </c>
      <c r="F33" s="139">
        <v>5</v>
      </c>
      <c r="G33" s="19">
        <f t="shared" si="6"/>
        <v>0.015384615384615385</v>
      </c>
      <c r="H33" s="20">
        <f t="shared" si="7"/>
        <v>-4.174387269895637</v>
      </c>
      <c r="I33" s="20">
        <f t="shared" si="8"/>
        <v>-0.06422134261377903</v>
      </c>
      <c r="J33" s="35">
        <f t="shared" si="9"/>
        <v>0.0002366863905325444</v>
      </c>
      <c r="M33" s="88"/>
      <c r="N33" s="88"/>
      <c r="O33" s="88"/>
      <c r="P33" s="88"/>
      <c r="Q33" s="88"/>
      <c r="R33" s="88"/>
    </row>
    <row r="34" spans="1:18" ht="15.75">
      <c r="A34" s="139">
        <v>5</v>
      </c>
      <c r="B34" s="21" t="s">
        <v>7</v>
      </c>
      <c r="C34" s="21" t="s">
        <v>91</v>
      </c>
      <c r="D34" s="8" t="s">
        <v>8</v>
      </c>
      <c r="E34" s="8" t="s">
        <v>167</v>
      </c>
      <c r="F34" s="139">
        <v>36</v>
      </c>
      <c r="G34" s="19">
        <f t="shared" si="6"/>
        <v>0.11076923076923077</v>
      </c>
      <c r="H34" s="20">
        <f t="shared" si="7"/>
        <v>-2.2003062438736274</v>
      </c>
      <c r="I34" s="20">
        <f t="shared" si="8"/>
        <v>-0.2437262300906172</v>
      </c>
      <c r="J34" s="35">
        <f t="shared" si="9"/>
        <v>0.012269822485207102</v>
      </c>
      <c r="L34" s="68"/>
      <c r="M34" s="88"/>
      <c r="N34" s="88"/>
      <c r="O34" s="88"/>
      <c r="P34" s="88"/>
      <c r="Q34" s="88"/>
      <c r="R34" s="88"/>
    </row>
    <row r="35" spans="1:18" ht="15.75">
      <c r="A35" s="139">
        <v>6</v>
      </c>
      <c r="B35" s="21" t="s">
        <v>7</v>
      </c>
      <c r="C35" s="21" t="s">
        <v>91</v>
      </c>
      <c r="D35" s="8" t="s">
        <v>8</v>
      </c>
      <c r="E35" s="8" t="s">
        <v>168</v>
      </c>
      <c r="F35" s="139">
        <v>2</v>
      </c>
      <c r="G35" s="19">
        <f t="shared" si="6"/>
        <v>0.006153846153846154</v>
      </c>
      <c r="H35" s="20">
        <f t="shared" si="7"/>
        <v>-5.090678001769792</v>
      </c>
      <c r="I35" s="20">
        <f t="shared" si="8"/>
        <v>-0.031327249241660256</v>
      </c>
      <c r="J35" s="35">
        <f t="shared" si="9"/>
        <v>3.78698224852071E-05</v>
      </c>
      <c r="L35" s="69"/>
      <c r="M35" s="88"/>
      <c r="N35" s="88"/>
      <c r="O35" s="88"/>
      <c r="P35" s="88"/>
      <c r="Q35" s="88"/>
      <c r="R35" s="88"/>
    </row>
    <row r="36" spans="1:18" ht="15.75">
      <c r="A36" s="139">
        <v>7</v>
      </c>
      <c r="B36" s="21" t="s">
        <v>7</v>
      </c>
      <c r="C36" s="21" t="s">
        <v>91</v>
      </c>
      <c r="D36" s="8" t="s">
        <v>8</v>
      </c>
      <c r="E36" s="8" t="s">
        <v>169</v>
      </c>
      <c r="F36" s="139">
        <v>97</v>
      </c>
      <c r="G36" s="19">
        <f t="shared" si="6"/>
        <v>0.29846153846153844</v>
      </c>
      <c r="H36" s="20">
        <f t="shared" si="7"/>
        <v>-1.2091142038263547</v>
      </c>
      <c r="I36" s="20">
        <f t="shared" si="8"/>
        <v>-0.360874085449712</v>
      </c>
      <c r="J36" s="35">
        <f t="shared" si="9"/>
        <v>0.0890792899408284</v>
      </c>
      <c r="L36" s="68"/>
      <c r="M36" s="88"/>
      <c r="N36" s="88"/>
      <c r="O36" s="88"/>
      <c r="P36" s="88"/>
      <c r="Q36" s="88"/>
      <c r="R36" s="88"/>
    </row>
    <row r="37" spans="1:18" ht="15.75">
      <c r="A37" s="139">
        <v>8</v>
      </c>
      <c r="B37" s="8" t="s">
        <v>7</v>
      </c>
      <c r="C37" s="8" t="s">
        <v>91</v>
      </c>
      <c r="D37" s="8" t="s">
        <v>8</v>
      </c>
      <c r="E37" s="8" t="s">
        <v>170</v>
      </c>
      <c r="F37" s="139">
        <v>59</v>
      </c>
      <c r="G37" s="19">
        <f t="shared" si="6"/>
        <v>0.18153846153846154</v>
      </c>
      <c r="H37" s="20">
        <f t="shared" si="7"/>
        <v>-1.706287738424018</v>
      </c>
      <c r="I37" s="20">
        <f t="shared" si="8"/>
        <v>-0.3097568509754371</v>
      </c>
      <c r="J37" s="35">
        <f t="shared" si="9"/>
        <v>0.03295621301775148</v>
      </c>
      <c r="L37" s="69"/>
      <c r="M37" s="88"/>
      <c r="N37" s="88"/>
      <c r="O37" s="88"/>
      <c r="P37" s="88"/>
      <c r="Q37" s="88"/>
      <c r="R37" s="88"/>
    </row>
    <row r="38" spans="1:18" ht="15.75">
      <c r="A38" s="139">
        <v>9</v>
      </c>
      <c r="B38" s="8" t="s">
        <v>7</v>
      </c>
      <c r="C38" s="21" t="s">
        <v>91</v>
      </c>
      <c r="D38" s="8" t="s">
        <v>8</v>
      </c>
      <c r="E38" s="21" t="s">
        <v>9</v>
      </c>
      <c r="F38" s="139">
        <v>13</v>
      </c>
      <c r="G38" s="19">
        <f t="shared" si="6"/>
        <v>0.04</v>
      </c>
      <c r="H38" s="20">
        <f t="shared" si="7"/>
        <v>-3.2188758248682006</v>
      </c>
      <c r="I38" s="20">
        <f t="shared" si="8"/>
        <v>-0.128755032994728</v>
      </c>
      <c r="J38" s="35">
        <f t="shared" si="9"/>
        <v>0.0016</v>
      </c>
      <c r="L38" s="68"/>
      <c r="M38" s="88"/>
      <c r="N38" s="88"/>
      <c r="O38" s="88"/>
      <c r="P38" s="88"/>
      <c r="Q38" s="88"/>
      <c r="R38" s="88"/>
    </row>
    <row r="39" spans="1:18" ht="15.75">
      <c r="A39" s="139">
        <v>10</v>
      </c>
      <c r="B39" s="8" t="s">
        <v>7</v>
      </c>
      <c r="C39" s="21" t="s">
        <v>91</v>
      </c>
      <c r="D39" s="8" t="s">
        <v>8</v>
      </c>
      <c r="E39" s="21" t="s">
        <v>16</v>
      </c>
      <c r="F39" s="139">
        <v>2</v>
      </c>
      <c r="G39" s="19">
        <f t="shared" si="6"/>
        <v>0.006153846153846154</v>
      </c>
      <c r="H39" s="20">
        <f t="shared" si="7"/>
        <v>-5.090678001769792</v>
      </c>
      <c r="I39" s="20">
        <f t="shared" si="8"/>
        <v>-0.031327249241660256</v>
      </c>
      <c r="J39" s="35">
        <f t="shared" si="9"/>
        <v>3.78698224852071E-05</v>
      </c>
      <c r="L39" s="68"/>
      <c r="M39" s="88"/>
      <c r="N39" s="88"/>
      <c r="O39" s="88"/>
      <c r="P39" s="88"/>
      <c r="Q39" s="88"/>
      <c r="R39" s="88"/>
    </row>
    <row r="40" spans="1:18" ht="15.75">
      <c r="A40" s="139">
        <v>11</v>
      </c>
      <c r="B40" s="8" t="s">
        <v>7</v>
      </c>
      <c r="C40" s="21" t="s">
        <v>91</v>
      </c>
      <c r="D40" s="8" t="s">
        <v>8</v>
      </c>
      <c r="E40" s="21" t="s">
        <v>23</v>
      </c>
      <c r="F40" s="139">
        <v>5</v>
      </c>
      <c r="G40" s="19">
        <f t="shared" si="6"/>
        <v>0.015384615384615385</v>
      </c>
      <c r="H40" s="20">
        <f t="shared" si="7"/>
        <v>-4.174387269895637</v>
      </c>
      <c r="I40" s="20">
        <f t="shared" si="8"/>
        <v>-0.06422134261377903</v>
      </c>
      <c r="J40" s="35">
        <f t="shared" si="9"/>
        <v>0.0002366863905325444</v>
      </c>
      <c r="L40" s="69"/>
      <c r="M40" s="88"/>
      <c r="N40" s="88"/>
      <c r="O40" s="88"/>
      <c r="P40" s="88"/>
      <c r="Q40" s="88"/>
      <c r="R40" s="88"/>
    </row>
    <row r="41" spans="1:18" ht="15.75">
      <c r="A41" s="139">
        <v>12</v>
      </c>
      <c r="B41" s="8" t="s">
        <v>7</v>
      </c>
      <c r="C41" s="21" t="s">
        <v>91</v>
      </c>
      <c r="D41" s="8" t="s">
        <v>8</v>
      </c>
      <c r="E41" s="21" t="s">
        <v>31</v>
      </c>
      <c r="F41" s="139">
        <v>1</v>
      </c>
      <c r="G41" s="19">
        <f t="shared" si="6"/>
        <v>0.003076923076923077</v>
      </c>
      <c r="H41" s="20">
        <f t="shared" si="7"/>
        <v>-5.783825182329737</v>
      </c>
      <c r="I41" s="20">
        <f t="shared" si="8"/>
        <v>-0.017796385176399192</v>
      </c>
      <c r="J41" s="35">
        <f t="shared" si="9"/>
        <v>9.467455621301774E-06</v>
      </c>
      <c r="L41" s="69"/>
      <c r="M41" s="88"/>
      <c r="N41" s="88"/>
      <c r="O41" s="88"/>
      <c r="P41" s="88"/>
      <c r="Q41" s="88"/>
      <c r="R41" s="88"/>
    </row>
    <row r="42" spans="1:18" ht="15.75">
      <c r="A42" s="139">
        <v>13</v>
      </c>
      <c r="B42" s="8" t="s">
        <v>7</v>
      </c>
      <c r="C42" s="21" t="s">
        <v>91</v>
      </c>
      <c r="D42" s="8" t="s">
        <v>14</v>
      </c>
      <c r="E42" s="21" t="s">
        <v>9</v>
      </c>
      <c r="F42" s="139">
        <v>2</v>
      </c>
      <c r="G42" s="19">
        <f t="shared" si="6"/>
        <v>0.006153846153846154</v>
      </c>
      <c r="H42" s="20">
        <f t="shared" si="7"/>
        <v>-5.090678001769792</v>
      </c>
      <c r="I42" s="20">
        <f t="shared" si="8"/>
        <v>-0.031327249241660256</v>
      </c>
      <c r="J42" s="35">
        <f t="shared" si="9"/>
        <v>3.78698224852071E-05</v>
      </c>
      <c r="L42" s="69"/>
      <c r="M42" s="88"/>
      <c r="N42" s="88"/>
      <c r="O42" s="88"/>
      <c r="P42" s="88"/>
      <c r="Q42" s="88"/>
      <c r="R42" s="88"/>
    </row>
    <row r="43" spans="1:18" ht="15.75">
      <c r="A43" s="139">
        <v>14</v>
      </c>
      <c r="B43" s="8" t="s">
        <v>7</v>
      </c>
      <c r="C43" s="21" t="s">
        <v>91</v>
      </c>
      <c r="D43" s="8" t="s">
        <v>14</v>
      </c>
      <c r="E43" s="21" t="s">
        <v>16</v>
      </c>
      <c r="F43" s="139">
        <v>4</v>
      </c>
      <c r="G43" s="19">
        <f t="shared" si="6"/>
        <v>0.012307692307692308</v>
      </c>
      <c r="H43" s="20">
        <f t="shared" si="7"/>
        <v>-4.3975308212098465</v>
      </c>
      <c r="I43" s="20">
        <f t="shared" si="8"/>
        <v>-0.05412345626104426</v>
      </c>
      <c r="J43" s="35">
        <f t="shared" si="9"/>
        <v>0.0001514792899408284</v>
      </c>
      <c r="L43" s="69"/>
      <c r="M43" s="88"/>
      <c r="N43" s="88"/>
      <c r="O43" s="88"/>
      <c r="P43" s="88"/>
      <c r="Q43" s="88"/>
      <c r="R43" s="88"/>
    </row>
    <row r="44" spans="1:18" ht="15.75">
      <c r="A44" s="139">
        <v>15</v>
      </c>
      <c r="B44" s="8" t="s">
        <v>7</v>
      </c>
      <c r="C44" s="21" t="s">
        <v>91</v>
      </c>
      <c r="D44" s="8" t="s">
        <v>14</v>
      </c>
      <c r="E44" s="21" t="s">
        <v>23</v>
      </c>
      <c r="F44" s="139">
        <v>1</v>
      </c>
      <c r="G44" s="19">
        <f t="shared" si="6"/>
        <v>0.003076923076923077</v>
      </c>
      <c r="H44" s="20">
        <f t="shared" si="7"/>
        <v>-5.783825182329737</v>
      </c>
      <c r="I44" s="20">
        <f t="shared" si="8"/>
        <v>-0.017796385176399192</v>
      </c>
      <c r="J44" s="35">
        <f t="shared" si="9"/>
        <v>9.467455621301774E-06</v>
      </c>
      <c r="L44" s="68"/>
      <c r="M44" s="88"/>
      <c r="N44" s="88"/>
      <c r="O44" s="88"/>
      <c r="P44" s="88"/>
      <c r="Q44" s="88"/>
      <c r="R44" s="88"/>
    </row>
    <row r="45" spans="1:18" ht="15.75">
      <c r="A45" s="139">
        <v>16</v>
      </c>
      <c r="B45" s="8" t="s">
        <v>7</v>
      </c>
      <c r="C45" s="21" t="s">
        <v>91</v>
      </c>
      <c r="D45" s="8" t="s">
        <v>14</v>
      </c>
      <c r="E45" s="21" t="s">
        <v>31</v>
      </c>
      <c r="F45" s="139">
        <v>13</v>
      </c>
      <c r="G45" s="19">
        <f t="shared" si="6"/>
        <v>0.04</v>
      </c>
      <c r="H45" s="20">
        <f t="shared" si="7"/>
        <v>-3.2188758248682006</v>
      </c>
      <c r="I45" s="20">
        <f t="shared" si="8"/>
        <v>-0.128755032994728</v>
      </c>
      <c r="J45" s="35">
        <f t="shared" si="9"/>
        <v>0.0016</v>
      </c>
      <c r="L45" s="68"/>
      <c r="M45" s="88"/>
      <c r="N45" s="88"/>
      <c r="O45" s="88"/>
      <c r="P45" s="88"/>
      <c r="Q45" s="88"/>
      <c r="R45" s="88"/>
    </row>
    <row r="46" spans="1:18" ht="15.75">
      <c r="A46" s="139">
        <v>17</v>
      </c>
      <c r="B46" s="8" t="s">
        <v>7</v>
      </c>
      <c r="C46" s="21" t="s">
        <v>91</v>
      </c>
      <c r="D46" s="8" t="s">
        <v>12</v>
      </c>
      <c r="E46" s="8" t="s">
        <v>171</v>
      </c>
      <c r="F46" s="139">
        <v>3</v>
      </c>
      <c r="G46" s="19">
        <f t="shared" si="6"/>
        <v>0.009230769230769232</v>
      </c>
      <c r="H46" s="20">
        <f t="shared" si="7"/>
        <v>-4.685212893661627</v>
      </c>
      <c r="I46" s="20">
        <f t="shared" si="8"/>
        <v>-0.04324811901841503</v>
      </c>
      <c r="J46" s="35">
        <f t="shared" si="9"/>
        <v>8.520710059171599E-05</v>
      </c>
      <c r="L46" s="68"/>
      <c r="M46" s="88"/>
      <c r="N46" s="88"/>
      <c r="O46" s="88"/>
      <c r="P46" s="88"/>
      <c r="Q46" s="88"/>
      <c r="R46" s="88"/>
    </row>
    <row r="47" spans="1:18" ht="15.75">
      <c r="A47" s="139">
        <v>18</v>
      </c>
      <c r="B47" s="8" t="s">
        <v>7</v>
      </c>
      <c r="C47" s="21" t="s">
        <v>91</v>
      </c>
      <c r="D47" s="8" t="s">
        <v>12</v>
      </c>
      <c r="E47" s="8" t="s">
        <v>172</v>
      </c>
      <c r="F47" s="139">
        <v>34</v>
      </c>
      <c r="G47" s="19">
        <f t="shared" si="6"/>
        <v>0.10461538461538461</v>
      </c>
      <c r="H47" s="20">
        <f t="shared" si="7"/>
        <v>-2.257464657713576</v>
      </c>
      <c r="I47" s="20">
        <f t="shared" si="8"/>
        <v>-0.23616553342234334</v>
      </c>
      <c r="J47" s="35">
        <f t="shared" si="9"/>
        <v>0.01094437869822485</v>
      </c>
      <c r="L47" s="68"/>
      <c r="M47" s="88"/>
      <c r="N47" s="88"/>
      <c r="O47" s="88"/>
      <c r="P47" s="88"/>
      <c r="Q47" s="88"/>
      <c r="R47" s="88"/>
    </row>
    <row r="48" spans="1:18" ht="15.75">
      <c r="A48" s="139">
        <v>19</v>
      </c>
      <c r="B48" s="8" t="s">
        <v>7</v>
      </c>
      <c r="C48" s="21" t="s">
        <v>91</v>
      </c>
      <c r="D48" s="8" t="s">
        <v>36</v>
      </c>
      <c r="E48" s="21" t="s">
        <v>67</v>
      </c>
      <c r="F48" s="139">
        <v>4</v>
      </c>
      <c r="G48" s="19">
        <f t="shared" si="6"/>
        <v>0.012307692307692308</v>
      </c>
      <c r="H48" s="20">
        <f t="shared" si="7"/>
        <v>-4.3975308212098465</v>
      </c>
      <c r="I48" s="20">
        <f t="shared" si="8"/>
        <v>-0.05412345626104426</v>
      </c>
      <c r="J48" s="35">
        <f t="shared" si="9"/>
        <v>0.0001514792899408284</v>
      </c>
      <c r="L48" s="68"/>
      <c r="M48" s="88"/>
      <c r="N48" s="88"/>
      <c r="O48" s="88"/>
      <c r="P48" s="88"/>
      <c r="Q48" s="88"/>
      <c r="R48" s="88"/>
    </row>
    <row r="49" spans="1:18" ht="15.75">
      <c r="A49" s="139">
        <v>20</v>
      </c>
      <c r="B49" s="21" t="s">
        <v>28</v>
      </c>
      <c r="C49" s="8" t="s">
        <v>92</v>
      </c>
      <c r="D49" s="8" t="s">
        <v>59</v>
      </c>
      <c r="E49" s="8" t="s">
        <v>67</v>
      </c>
      <c r="F49" s="139">
        <v>1</v>
      </c>
      <c r="G49" s="19">
        <f t="shared" si="6"/>
        <v>0.003076923076923077</v>
      </c>
      <c r="H49" s="20">
        <f t="shared" si="7"/>
        <v>-5.783825182329737</v>
      </c>
      <c r="I49" s="20">
        <f t="shared" si="8"/>
        <v>-0.017796385176399192</v>
      </c>
      <c r="J49" s="35">
        <f t="shared" si="9"/>
        <v>9.467455621301774E-06</v>
      </c>
      <c r="L49" s="68"/>
      <c r="M49" s="88"/>
      <c r="N49" s="88"/>
      <c r="O49" s="88"/>
      <c r="P49" s="88"/>
      <c r="Q49" s="88"/>
      <c r="R49" s="88"/>
    </row>
    <row r="50" spans="1:18" ht="15.75">
      <c r="A50" s="139">
        <v>21</v>
      </c>
      <c r="B50" s="8" t="s">
        <v>7</v>
      </c>
      <c r="C50" s="8" t="s">
        <v>94</v>
      </c>
      <c r="D50" s="8" t="s">
        <v>57</v>
      </c>
      <c r="E50" s="8" t="s">
        <v>174</v>
      </c>
      <c r="F50" s="139">
        <v>3</v>
      </c>
      <c r="G50" s="19">
        <f t="shared" si="6"/>
        <v>0.009230769230769232</v>
      </c>
      <c r="H50" s="20">
        <f t="shared" si="7"/>
        <v>-4.685212893661627</v>
      </c>
      <c r="I50" s="20">
        <f t="shared" si="8"/>
        <v>-0.04324811901841503</v>
      </c>
      <c r="J50" s="35">
        <f t="shared" si="9"/>
        <v>8.520710059171599E-05</v>
      </c>
      <c r="L50" s="68"/>
      <c r="M50" s="88"/>
      <c r="N50" s="88"/>
      <c r="O50" s="88"/>
      <c r="P50" s="88"/>
      <c r="Q50" s="88"/>
      <c r="R50" s="88"/>
    </row>
    <row r="51" spans="1:18" ht="15.75">
      <c r="A51" s="139">
        <v>22</v>
      </c>
      <c r="B51" s="21" t="s">
        <v>28</v>
      </c>
      <c r="C51" s="8" t="s">
        <v>95</v>
      </c>
      <c r="D51" s="8" t="s">
        <v>25</v>
      </c>
      <c r="E51" s="8" t="s">
        <v>175</v>
      </c>
      <c r="F51" s="139">
        <v>4</v>
      </c>
      <c r="G51" s="19">
        <f t="shared" si="6"/>
        <v>0.012307692307692308</v>
      </c>
      <c r="H51" s="20">
        <f t="shared" si="7"/>
        <v>-4.3975308212098465</v>
      </c>
      <c r="I51" s="20">
        <f t="shared" si="8"/>
        <v>-0.05412345626104426</v>
      </c>
      <c r="J51" s="35">
        <f t="shared" si="9"/>
        <v>0.0001514792899408284</v>
      </c>
      <c r="L51" s="68"/>
      <c r="M51" s="88"/>
      <c r="N51" s="88"/>
      <c r="O51" s="88"/>
      <c r="P51" s="88"/>
      <c r="Q51" s="88"/>
      <c r="R51" s="88"/>
    </row>
    <row r="52" spans="1:18" ht="15.75">
      <c r="A52" s="150">
        <v>23</v>
      </c>
      <c r="B52" s="8" t="s">
        <v>7</v>
      </c>
      <c r="C52" s="8" t="s">
        <v>93</v>
      </c>
      <c r="D52" s="8" t="s">
        <v>11</v>
      </c>
      <c r="E52" s="8" t="s">
        <v>67</v>
      </c>
      <c r="F52" s="139">
        <v>28</v>
      </c>
      <c r="G52" s="19">
        <f t="shared" si="6"/>
        <v>0.08615384615384615</v>
      </c>
      <c r="H52" s="20">
        <f t="shared" si="7"/>
        <v>-2.4516206721545335</v>
      </c>
      <c r="I52" s="20">
        <f t="shared" si="8"/>
        <v>-0.21121655021639058</v>
      </c>
      <c r="J52" s="35">
        <f t="shared" si="9"/>
        <v>0.007422485207100591</v>
      </c>
      <c r="L52" s="69"/>
      <c r="M52" s="88"/>
      <c r="N52" s="88"/>
      <c r="O52" s="88"/>
      <c r="P52" s="88"/>
      <c r="Q52" s="88"/>
      <c r="R52" s="88"/>
    </row>
    <row r="53" spans="1:18" ht="15.75">
      <c r="A53" s="169" t="s">
        <v>82</v>
      </c>
      <c r="B53" s="165"/>
      <c r="C53" s="165"/>
      <c r="D53" s="165"/>
      <c r="E53" s="165"/>
      <c r="F53" s="138">
        <f>SUM(F30:F52)</f>
        <v>325</v>
      </c>
      <c r="G53" s="47"/>
      <c r="H53" s="47"/>
      <c r="I53" s="90">
        <f>SUM(I30:I52)</f>
        <v>-2.259097471901514</v>
      </c>
      <c r="J53" s="62">
        <f>SUM(J30:J52)</f>
        <v>0.15735857988165677</v>
      </c>
      <c r="L53" s="69"/>
      <c r="M53" s="88"/>
      <c r="N53" s="88"/>
      <c r="O53" s="88"/>
      <c r="P53" s="88"/>
      <c r="Q53" s="88"/>
      <c r="R53" s="88"/>
    </row>
    <row r="54" spans="1:18" ht="15.75">
      <c r="A54" s="166" t="s">
        <v>83</v>
      </c>
      <c r="B54" s="166"/>
      <c r="C54" s="166"/>
      <c r="D54" s="166"/>
      <c r="E54" s="166"/>
      <c r="F54" s="38"/>
      <c r="G54" s="39"/>
      <c r="H54" s="39"/>
      <c r="I54" s="40">
        <f>-(I53)</f>
        <v>2.259097471901514</v>
      </c>
      <c r="J54" s="39"/>
      <c r="L54" s="68"/>
      <c r="M54" s="88"/>
      <c r="N54" s="88"/>
      <c r="O54" s="88"/>
      <c r="P54" s="88"/>
      <c r="Q54" s="88"/>
      <c r="R54" s="88"/>
    </row>
    <row r="55" spans="1:18" ht="15.75">
      <c r="A55" s="167" t="s">
        <v>84</v>
      </c>
      <c r="B55" s="167"/>
      <c r="C55" s="167"/>
      <c r="D55" s="167"/>
      <c r="E55" s="167"/>
      <c r="F55" s="41"/>
      <c r="G55" s="42"/>
      <c r="H55" s="42"/>
      <c r="I55" s="43">
        <f>I54/LN(23)</f>
        <v>0.7204916725486828</v>
      </c>
      <c r="J55" s="42"/>
      <c r="L55" s="70"/>
      <c r="M55" s="88"/>
      <c r="N55" s="88"/>
      <c r="O55" s="88"/>
      <c r="P55" s="88"/>
      <c r="Q55" s="88"/>
      <c r="R55" s="88"/>
    </row>
    <row r="56" spans="1:18" ht="15.75">
      <c r="A56" s="168" t="s">
        <v>85</v>
      </c>
      <c r="B56" s="168"/>
      <c r="C56" s="168"/>
      <c r="D56" s="168"/>
      <c r="E56" s="168"/>
      <c r="F56" s="44"/>
      <c r="G56" s="45"/>
      <c r="H56" s="45"/>
      <c r="I56" s="46">
        <f>J53</f>
        <v>0.15735857988165677</v>
      </c>
      <c r="J56" s="45"/>
      <c r="L56" s="69"/>
      <c r="M56" s="88"/>
      <c r="N56" s="88"/>
      <c r="O56" s="88"/>
      <c r="P56" s="88"/>
      <c r="Q56" s="88"/>
      <c r="R56" s="88"/>
    </row>
    <row r="57" spans="1:18" ht="15">
      <c r="A57" t="s">
        <v>142</v>
      </c>
      <c r="L57" s="69"/>
      <c r="M57" s="88"/>
      <c r="N57" s="88"/>
      <c r="O57" s="88"/>
      <c r="P57" s="88"/>
      <c r="Q57" s="88"/>
      <c r="R57" s="88"/>
    </row>
    <row r="58" spans="1:18" ht="15.75">
      <c r="A58" s="25" t="s">
        <v>98</v>
      </c>
      <c r="B58" s="22" t="s">
        <v>6</v>
      </c>
      <c r="C58" s="22" t="s">
        <v>88</v>
      </c>
      <c r="D58" s="22" t="s">
        <v>3</v>
      </c>
      <c r="E58" s="22" t="s">
        <v>65</v>
      </c>
      <c r="F58" s="25" t="s">
        <v>99</v>
      </c>
      <c r="G58" s="25" t="s">
        <v>79</v>
      </c>
      <c r="H58" s="25" t="s">
        <v>81</v>
      </c>
      <c r="I58" s="25" t="s">
        <v>80</v>
      </c>
      <c r="J58" s="65" t="s">
        <v>100</v>
      </c>
      <c r="L58" s="69"/>
      <c r="M58" s="88"/>
      <c r="N58" s="88"/>
      <c r="O58" s="88"/>
      <c r="P58" s="88"/>
      <c r="Q58" s="88"/>
      <c r="R58" s="88"/>
    </row>
    <row r="59" spans="1:12" ht="15.75">
      <c r="A59" s="8">
        <v>1</v>
      </c>
      <c r="B59" s="49" t="s">
        <v>158</v>
      </c>
      <c r="C59" s="49" t="s">
        <v>89</v>
      </c>
      <c r="D59" s="49" t="s">
        <v>21</v>
      </c>
      <c r="E59" s="49" t="s">
        <v>177</v>
      </c>
      <c r="F59" s="8">
        <v>3</v>
      </c>
      <c r="G59" s="20">
        <f aca="true" t="shared" si="10" ref="G59:G74">F59/200</f>
        <v>0.015</v>
      </c>
      <c r="H59" s="20">
        <f aca="true" t="shared" si="11" ref="H59:H74">LN(G59)</f>
        <v>-4.199705077879927</v>
      </c>
      <c r="I59" s="20">
        <f aca="true" t="shared" si="12" ref="I59:I74">G59*H59</f>
        <v>-0.06299557616819891</v>
      </c>
      <c r="J59" s="19">
        <f aca="true" t="shared" si="13" ref="J59:J74">G59^2</f>
        <v>0.000225</v>
      </c>
      <c r="L59" s="69"/>
    </row>
    <row r="60" spans="1:12" ht="15.75">
      <c r="A60" s="8">
        <v>2</v>
      </c>
      <c r="B60" s="52" t="s">
        <v>28</v>
      </c>
      <c r="C60" s="52" t="s">
        <v>89</v>
      </c>
      <c r="D60" s="52" t="s">
        <v>26</v>
      </c>
      <c r="E60" s="49" t="s">
        <v>67</v>
      </c>
      <c r="F60" s="8">
        <v>13</v>
      </c>
      <c r="G60" s="20">
        <f t="shared" si="10"/>
        <v>0.065</v>
      </c>
      <c r="H60" s="20">
        <f t="shared" si="11"/>
        <v>-2.7333680090865</v>
      </c>
      <c r="I60" s="20">
        <f t="shared" si="12"/>
        <v>-0.1776689205906225</v>
      </c>
      <c r="J60" s="19">
        <f t="shared" si="13"/>
        <v>0.0042250000000000005</v>
      </c>
      <c r="L60" s="68"/>
    </row>
    <row r="61" spans="1:12" ht="15.75">
      <c r="A61" s="8">
        <v>3</v>
      </c>
      <c r="B61" s="49" t="s">
        <v>19</v>
      </c>
      <c r="C61" s="49" t="s">
        <v>89</v>
      </c>
      <c r="D61" s="49" t="s">
        <v>29</v>
      </c>
      <c r="E61" s="52" t="s">
        <v>67</v>
      </c>
      <c r="F61" s="8">
        <v>7</v>
      </c>
      <c r="G61" s="20">
        <f t="shared" si="10"/>
        <v>0.035</v>
      </c>
      <c r="H61" s="20">
        <f t="shared" si="11"/>
        <v>-3.3524072174927233</v>
      </c>
      <c r="I61" s="20">
        <f t="shared" si="12"/>
        <v>-0.11733425261224532</v>
      </c>
      <c r="J61" s="19">
        <f t="shared" si="13"/>
        <v>0.0012250000000000002</v>
      </c>
      <c r="L61" s="69"/>
    </row>
    <row r="62" spans="1:12" ht="15.75">
      <c r="A62" s="8">
        <v>4</v>
      </c>
      <c r="B62" s="52" t="s">
        <v>7</v>
      </c>
      <c r="C62" s="52" t="s">
        <v>91</v>
      </c>
      <c r="D62" s="52" t="s">
        <v>20</v>
      </c>
      <c r="E62" s="49" t="s">
        <v>9</v>
      </c>
      <c r="F62" s="8">
        <v>31</v>
      </c>
      <c r="G62" s="20">
        <f t="shared" si="10"/>
        <v>0.155</v>
      </c>
      <c r="H62" s="20">
        <f t="shared" si="11"/>
        <v>-1.8643301620628905</v>
      </c>
      <c r="I62" s="20">
        <f t="shared" si="12"/>
        <v>-0.288971175119748</v>
      </c>
      <c r="J62" s="19">
        <f t="shared" si="13"/>
        <v>0.024025</v>
      </c>
      <c r="L62" s="69"/>
    </row>
    <row r="63" spans="1:10" ht="15.75">
      <c r="A63" s="8">
        <v>5</v>
      </c>
      <c r="B63" s="49" t="s">
        <v>7</v>
      </c>
      <c r="C63" s="49" t="s">
        <v>91</v>
      </c>
      <c r="D63" s="52" t="s">
        <v>8</v>
      </c>
      <c r="E63" s="52" t="s">
        <v>37</v>
      </c>
      <c r="F63" s="8">
        <v>29</v>
      </c>
      <c r="G63" s="20">
        <f t="shared" si="10"/>
        <v>0.145</v>
      </c>
      <c r="H63" s="20">
        <f t="shared" si="11"/>
        <v>-1.9310215365615626</v>
      </c>
      <c r="I63" s="20">
        <f t="shared" si="12"/>
        <v>-0.27999812280142655</v>
      </c>
      <c r="J63" s="19">
        <f t="shared" si="13"/>
        <v>0.021025</v>
      </c>
    </row>
    <row r="64" spans="1:10" ht="15.75">
      <c r="A64" s="8">
        <v>6</v>
      </c>
      <c r="B64" s="49" t="s">
        <v>7</v>
      </c>
      <c r="C64" s="49" t="s">
        <v>91</v>
      </c>
      <c r="D64" s="52" t="s">
        <v>8</v>
      </c>
      <c r="E64" s="52" t="s">
        <v>18</v>
      </c>
      <c r="F64" s="8">
        <v>19</v>
      </c>
      <c r="G64" s="20">
        <f t="shared" si="10"/>
        <v>0.095</v>
      </c>
      <c r="H64" s="20">
        <f t="shared" si="11"/>
        <v>-2.353878387381596</v>
      </c>
      <c r="I64" s="20">
        <f t="shared" si="12"/>
        <v>-0.22361844680125162</v>
      </c>
      <c r="J64" s="19">
        <f t="shared" si="13"/>
        <v>0.009025</v>
      </c>
    </row>
    <row r="65" spans="1:10" ht="15.75">
      <c r="A65" s="8">
        <v>7</v>
      </c>
      <c r="B65" s="52" t="s">
        <v>7</v>
      </c>
      <c r="C65" s="52" t="s">
        <v>91</v>
      </c>
      <c r="D65" s="52" t="s">
        <v>8</v>
      </c>
      <c r="E65" s="52" t="s">
        <v>30</v>
      </c>
      <c r="F65" s="8">
        <v>7</v>
      </c>
      <c r="G65" s="20">
        <f t="shared" si="10"/>
        <v>0.035</v>
      </c>
      <c r="H65" s="20">
        <f t="shared" si="11"/>
        <v>-3.3524072174927233</v>
      </c>
      <c r="I65" s="20">
        <f t="shared" si="12"/>
        <v>-0.11733425261224532</v>
      </c>
      <c r="J65" s="19">
        <f t="shared" si="13"/>
        <v>0.0012250000000000002</v>
      </c>
    </row>
    <row r="66" spans="1:10" ht="15.75">
      <c r="A66" s="8">
        <v>8</v>
      </c>
      <c r="B66" s="52" t="s">
        <v>7</v>
      </c>
      <c r="C66" s="49" t="s">
        <v>91</v>
      </c>
      <c r="D66" s="52" t="s">
        <v>8</v>
      </c>
      <c r="E66" s="49" t="s">
        <v>9</v>
      </c>
      <c r="F66" s="8">
        <v>11</v>
      </c>
      <c r="G66" s="20">
        <f t="shared" si="10"/>
        <v>0.055</v>
      </c>
      <c r="H66" s="20">
        <f t="shared" si="11"/>
        <v>-2.900422093749666</v>
      </c>
      <c r="I66" s="20">
        <f t="shared" si="12"/>
        <v>-0.15952321515623163</v>
      </c>
      <c r="J66" s="19">
        <f t="shared" si="13"/>
        <v>0.003025</v>
      </c>
    </row>
    <row r="67" spans="1:10" ht="15.75">
      <c r="A67" s="8">
        <v>9</v>
      </c>
      <c r="B67" s="52" t="s">
        <v>7</v>
      </c>
      <c r="C67" s="49" t="s">
        <v>91</v>
      </c>
      <c r="D67" s="52" t="s">
        <v>8</v>
      </c>
      <c r="E67" s="49" t="s">
        <v>16</v>
      </c>
      <c r="F67" s="8">
        <v>19</v>
      </c>
      <c r="G67" s="20">
        <f t="shared" si="10"/>
        <v>0.095</v>
      </c>
      <c r="H67" s="20">
        <f t="shared" si="11"/>
        <v>-2.353878387381596</v>
      </c>
      <c r="I67" s="20">
        <f t="shared" si="12"/>
        <v>-0.22361844680125162</v>
      </c>
      <c r="J67" s="19">
        <f t="shared" si="13"/>
        <v>0.009025</v>
      </c>
    </row>
    <row r="68" spans="1:10" ht="15.75">
      <c r="A68" s="8">
        <v>10</v>
      </c>
      <c r="B68" s="52" t="s">
        <v>7</v>
      </c>
      <c r="C68" s="49" t="s">
        <v>91</v>
      </c>
      <c r="D68" s="55" t="s">
        <v>27</v>
      </c>
      <c r="E68" s="55" t="s">
        <v>55</v>
      </c>
      <c r="F68" s="8">
        <v>2</v>
      </c>
      <c r="G68" s="20">
        <f t="shared" si="10"/>
        <v>0.01</v>
      </c>
      <c r="H68" s="20">
        <f t="shared" si="11"/>
        <v>-4.605170185988091</v>
      </c>
      <c r="I68" s="20">
        <f t="shared" si="12"/>
        <v>-0.04605170185988091</v>
      </c>
      <c r="J68" s="19">
        <f t="shared" si="13"/>
        <v>0.0001</v>
      </c>
    </row>
    <row r="69" spans="1:10" ht="15.75">
      <c r="A69" s="8">
        <v>11</v>
      </c>
      <c r="B69" s="52" t="s">
        <v>7</v>
      </c>
      <c r="C69" s="49" t="s">
        <v>91</v>
      </c>
      <c r="D69" s="52" t="s">
        <v>12</v>
      </c>
      <c r="E69" s="52" t="s">
        <v>13</v>
      </c>
      <c r="F69" s="8">
        <v>16</v>
      </c>
      <c r="G69" s="20">
        <f t="shared" si="10"/>
        <v>0.08</v>
      </c>
      <c r="H69" s="20">
        <f t="shared" si="11"/>
        <v>-2.5257286443082556</v>
      </c>
      <c r="I69" s="20">
        <f t="shared" si="12"/>
        <v>-0.20205829154466046</v>
      </c>
      <c r="J69" s="19">
        <f t="shared" si="13"/>
        <v>0.0064</v>
      </c>
    </row>
    <row r="70" spans="1:10" ht="15.75">
      <c r="A70" s="8">
        <v>12</v>
      </c>
      <c r="B70" s="52" t="s">
        <v>7</v>
      </c>
      <c r="C70" s="52" t="s">
        <v>94</v>
      </c>
      <c r="D70" s="55" t="s">
        <v>57</v>
      </c>
      <c r="E70" s="55" t="s">
        <v>58</v>
      </c>
      <c r="F70" s="8">
        <v>4</v>
      </c>
      <c r="G70" s="20">
        <f t="shared" si="10"/>
        <v>0.02</v>
      </c>
      <c r="H70" s="20">
        <f t="shared" si="11"/>
        <v>-3.912023005428146</v>
      </c>
      <c r="I70" s="20">
        <f t="shared" si="12"/>
        <v>-0.07824046010856292</v>
      </c>
      <c r="J70" s="19">
        <f t="shared" si="13"/>
        <v>0.0004</v>
      </c>
    </row>
    <row r="71" spans="1:10" ht="15.75">
      <c r="A71" s="8">
        <v>13</v>
      </c>
      <c r="B71" s="49" t="s">
        <v>28</v>
      </c>
      <c r="C71" s="52" t="s">
        <v>95</v>
      </c>
      <c r="D71" s="52" t="s">
        <v>25</v>
      </c>
      <c r="E71" s="52" t="s">
        <v>69</v>
      </c>
      <c r="F71" s="8">
        <v>5</v>
      </c>
      <c r="G71" s="20">
        <f t="shared" si="10"/>
        <v>0.025</v>
      </c>
      <c r="H71" s="20">
        <f t="shared" si="11"/>
        <v>-3.6888794541139363</v>
      </c>
      <c r="I71" s="20">
        <f t="shared" si="12"/>
        <v>-0.09222198635284841</v>
      </c>
      <c r="J71" s="19">
        <f t="shared" si="13"/>
        <v>0.0006250000000000001</v>
      </c>
    </row>
    <row r="72" spans="1:10" ht="15.75">
      <c r="A72" s="8">
        <v>14</v>
      </c>
      <c r="B72" s="49" t="s">
        <v>7</v>
      </c>
      <c r="C72" s="52" t="s">
        <v>93</v>
      </c>
      <c r="D72" s="52" t="s">
        <v>11</v>
      </c>
      <c r="E72" s="52" t="s">
        <v>60</v>
      </c>
      <c r="F72" s="8">
        <v>12</v>
      </c>
      <c r="G72" s="20">
        <f t="shared" si="10"/>
        <v>0.06</v>
      </c>
      <c r="H72" s="20">
        <f t="shared" si="11"/>
        <v>-2.8134107167600364</v>
      </c>
      <c r="I72" s="20">
        <f t="shared" si="12"/>
        <v>-0.1688046430056022</v>
      </c>
      <c r="J72" s="19">
        <f t="shared" si="13"/>
        <v>0.0036</v>
      </c>
    </row>
    <row r="73" spans="1:10" ht="15.75">
      <c r="A73" s="8">
        <v>15</v>
      </c>
      <c r="B73" s="49" t="s">
        <v>7</v>
      </c>
      <c r="C73" s="52" t="s">
        <v>93</v>
      </c>
      <c r="D73" s="52" t="s">
        <v>11</v>
      </c>
      <c r="E73" s="52" t="s">
        <v>67</v>
      </c>
      <c r="F73" s="8">
        <v>9</v>
      </c>
      <c r="G73" s="20">
        <f t="shared" si="10"/>
        <v>0.045</v>
      </c>
      <c r="H73" s="20">
        <f t="shared" si="11"/>
        <v>-3.101092789211817</v>
      </c>
      <c r="I73" s="20">
        <f t="shared" si="12"/>
        <v>-0.13954917551453178</v>
      </c>
      <c r="J73" s="19">
        <f t="shared" si="13"/>
        <v>0.002025</v>
      </c>
    </row>
    <row r="74" spans="1:10" ht="15.75">
      <c r="A74" s="8">
        <v>16</v>
      </c>
      <c r="B74" s="148" t="s">
        <v>19</v>
      </c>
      <c r="C74" s="8" t="s">
        <v>164</v>
      </c>
      <c r="D74" s="8" t="s">
        <v>163</v>
      </c>
      <c r="E74" s="8" t="s">
        <v>67</v>
      </c>
      <c r="F74" s="8">
        <v>13</v>
      </c>
      <c r="G74" s="20">
        <f t="shared" si="10"/>
        <v>0.065</v>
      </c>
      <c r="H74" s="20">
        <f t="shared" si="11"/>
        <v>-2.7333680090865</v>
      </c>
      <c r="I74" s="20">
        <f t="shared" si="12"/>
        <v>-0.1776689205906225</v>
      </c>
      <c r="J74" s="19">
        <f t="shared" si="13"/>
        <v>0.0042250000000000005</v>
      </c>
    </row>
    <row r="75" spans="1:10" ht="15.75">
      <c r="A75" s="165" t="s">
        <v>82</v>
      </c>
      <c r="B75" s="165"/>
      <c r="C75" s="165"/>
      <c r="D75" s="165"/>
      <c r="E75" s="165"/>
      <c r="F75" s="47">
        <f>SUM(F59:F74)</f>
        <v>200</v>
      </c>
      <c r="G75" s="47"/>
      <c r="H75" s="47"/>
      <c r="I75" s="63">
        <f>SUM(I59:I73)</f>
        <v>-2.3779886670493084</v>
      </c>
      <c r="J75" s="62">
        <f>SUM(J59:J73)</f>
        <v>0.08617500000000002</v>
      </c>
    </row>
    <row r="76" spans="1:10" ht="15.75">
      <c r="A76" s="166" t="s">
        <v>83</v>
      </c>
      <c r="B76" s="166"/>
      <c r="C76" s="166"/>
      <c r="D76" s="166"/>
      <c r="E76" s="166"/>
      <c r="F76" s="38"/>
      <c r="G76" s="39"/>
      <c r="H76" s="39"/>
      <c r="I76" s="40">
        <f>-(I75)</f>
        <v>2.3779886670493084</v>
      </c>
      <c r="J76" s="39"/>
    </row>
    <row r="77" spans="1:10" ht="15.75">
      <c r="A77" s="167" t="s">
        <v>84</v>
      </c>
      <c r="B77" s="167"/>
      <c r="C77" s="167"/>
      <c r="D77" s="167"/>
      <c r="E77" s="167"/>
      <c r="F77" s="41"/>
      <c r="G77" s="42"/>
      <c r="H77" s="42"/>
      <c r="I77" s="43">
        <f>I76/LN(16)</f>
        <v>0.8576781143105484</v>
      </c>
      <c r="J77" s="42"/>
    </row>
    <row r="78" spans="1:10" ht="15.75">
      <c r="A78" s="168" t="s">
        <v>85</v>
      </c>
      <c r="B78" s="168"/>
      <c r="C78" s="168"/>
      <c r="D78" s="168"/>
      <c r="E78" s="168"/>
      <c r="F78" s="44"/>
      <c r="G78" s="45"/>
      <c r="H78" s="45"/>
      <c r="I78" s="46">
        <f>J75</f>
        <v>0.08617500000000002</v>
      </c>
      <c r="J78" s="45"/>
    </row>
    <row r="80" ht="15">
      <c r="A80" t="s">
        <v>143</v>
      </c>
    </row>
    <row r="81" spans="1:10" ht="15.75">
      <c r="A81" s="60" t="s">
        <v>98</v>
      </c>
      <c r="B81" s="37" t="s">
        <v>6</v>
      </c>
      <c r="C81" s="37" t="s">
        <v>88</v>
      </c>
      <c r="D81" s="37" t="s">
        <v>3</v>
      </c>
      <c r="E81" s="37" t="s">
        <v>65</v>
      </c>
      <c r="F81" s="36" t="s">
        <v>99</v>
      </c>
      <c r="G81" s="36" t="s">
        <v>79</v>
      </c>
      <c r="H81" s="36" t="s">
        <v>81</v>
      </c>
      <c r="I81" s="36" t="s">
        <v>80</v>
      </c>
      <c r="J81" s="60" t="s">
        <v>100</v>
      </c>
    </row>
    <row r="82" spans="1:10" ht="15.75">
      <c r="A82" s="138">
        <v>1</v>
      </c>
      <c r="B82" s="59" t="s">
        <v>158</v>
      </c>
      <c r="C82" s="59" t="s">
        <v>89</v>
      </c>
      <c r="D82" s="59" t="s">
        <v>21</v>
      </c>
      <c r="E82" s="59" t="s">
        <v>177</v>
      </c>
      <c r="F82" s="47">
        <v>2</v>
      </c>
      <c r="G82" s="62">
        <f>F82/102</f>
        <v>0.0196078431372549</v>
      </c>
      <c r="H82" s="63">
        <f>LN(G82)</f>
        <v>-3.9318256327243257</v>
      </c>
      <c r="I82" s="63">
        <f>G82*H82</f>
        <v>-0.07709462024949658</v>
      </c>
      <c r="J82" s="64">
        <f>G82^2</f>
        <v>0.00038446751249519417</v>
      </c>
    </row>
    <row r="83" spans="1:10" ht="15.75">
      <c r="A83" s="139">
        <v>2</v>
      </c>
      <c r="B83" s="21" t="s">
        <v>7</v>
      </c>
      <c r="C83" s="21" t="s">
        <v>91</v>
      </c>
      <c r="D83" s="8" t="s">
        <v>20</v>
      </c>
      <c r="E83" s="21" t="s">
        <v>9</v>
      </c>
      <c r="F83" s="8">
        <v>4</v>
      </c>
      <c r="G83" s="19">
        <f aca="true" t="shared" si="14" ref="G83:G95">F83/102</f>
        <v>0.0392156862745098</v>
      </c>
      <c r="H83" s="20">
        <f aca="true" t="shared" si="15" ref="H83:H95">LN(G83)</f>
        <v>-3.2386784521643803</v>
      </c>
      <c r="I83" s="20">
        <f aca="true" t="shared" si="16" ref="I83:I95">G83*H83</f>
        <v>-0.12700699812409336</v>
      </c>
      <c r="J83" s="34">
        <f aca="true" t="shared" si="17" ref="J83:J95">G83^2</f>
        <v>0.0015378700499807767</v>
      </c>
    </row>
    <row r="84" spans="1:10" ht="15.75">
      <c r="A84" s="139">
        <v>3</v>
      </c>
      <c r="B84" s="21" t="s">
        <v>7</v>
      </c>
      <c r="C84" s="21" t="s">
        <v>91</v>
      </c>
      <c r="D84" s="8" t="s">
        <v>8</v>
      </c>
      <c r="E84" s="8" t="s">
        <v>167</v>
      </c>
      <c r="F84" s="8">
        <v>16</v>
      </c>
      <c r="G84" s="19">
        <f t="shared" si="14"/>
        <v>0.1568627450980392</v>
      </c>
      <c r="H84" s="20">
        <f t="shared" si="15"/>
        <v>-1.8523840910444898</v>
      </c>
      <c r="I84" s="20">
        <f t="shared" si="16"/>
        <v>-0.29057005349717485</v>
      </c>
      <c r="J84" s="34">
        <f t="shared" si="17"/>
        <v>0.024605920799692427</v>
      </c>
    </row>
    <row r="85" spans="1:10" ht="15.75">
      <c r="A85" s="139">
        <v>4</v>
      </c>
      <c r="B85" s="21" t="s">
        <v>7</v>
      </c>
      <c r="C85" s="21" t="s">
        <v>91</v>
      </c>
      <c r="D85" s="8" t="s">
        <v>8</v>
      </c>
      <c r="E85" s="8" t="s">
        <v>169</v>
      </c>
      <c r="F85" s="8">
        <v>13</v>
      </c>
      <c r="G85" s="19">
        <f t="shared" si="14"/>
        <v>0.12745098039215685</v>
      </c>
      <c r="H85" s="20">
        <f t="shared" si="15"/>
        <v>-2.0600234558227344</v>
      </c>
      <c r="I85" s="20">
        <f t="shared" si="16"/>
        <v>-0.2625520090754465</v>
      </c>
      <c r="J85" s="34">
        <f t="shared" si="17"/>
        <v>0.01624375240292195</v>
      </c>
    </row>
    <row r="86" spans="1:10" ht="15.75">
      <c r="A86" s="139">
        <v>5</v>
      </c>
      <c r="B86" s="7" t="s">
        <v>7</v>
      </c>
      <c r="C86" s="21" t="s">
        <v>91</v>
      </c>
      <c r="D86" s="8" t="s">
        <v>8</v>
      </c>
      <c r="E86" s="8" t="s">
        <v>170</v>
      </c>
      <c r="F86" s="8">
        <v>15</v>
      </c>
      <c r="G86" s="19">
        <f t="shared" si="14"/>
        <v>0.14705882352941177</v>
      </c>
      <c r="H86" s="20">
        <f t="shared" si="15"/>
        <v>-1.916922612182061</v>
      </c>
      <c r="I86" s="20">
        <f t="shared" si="16"/>
        <v>-0.28190038414442076</v>
      </c>
      <c r="J86" s="34">
        <f t="shared" si="17"/>
        <v>0.021626297577854673</v>
      </c>
    </row>
    <row r="87" spans="1:10" ht="15.75">
      <c r="A87" s="139">
        <v>6</v>
      </c>
      <c r="B87" s="7" t="s">
        <v>7</v>
      </c>
      <c r="C87" s="21" t="s">
        <v>91</v>
      </c>
      <c r="D87" s="8" t="s">
        <v>8</v>
      </c>
      <c r="E87" s="21" t="s">
        <v>9</v>
      </c>
      <c r="F87" s="8">
        <v>17</v>
      </c>
      <c r="G87" s="19">
        <f t="shared" si="14"/>
        <v>0.16666666666666666</v>
      </c>
      <c r="H87" s="20">
        <f t="shared" si="15"/>
        <v>-1.791759469228055</v>
      </c>
      <c r="I87" s="20">
        <f t="shared" si="16"/>
        <v>-0.2986265782046758</v>
      </c>
      <c r="J87" s="34">
        <f t="shared" si="17"/>
        <v>0.027777777777777776</v>
      </c>
    </row>
    <row r="88" spans="1:10" ht="15.75">
      <c r="A88" s="139">
        <v>7</v>
      </c>
      <c r="B88" s="7" t="s">
        <v>7</v>
      </c>
      <c r="C88" s="21" t="s">
        <v>91</v>
      </c>
      <c r="D88" s="8" t="s">
        <v>8</v>
      </c>
      <c r="E88" s="21" t="s">
        <v>16</v>
      </c>
      <c r="F88" s="8">
        <v>4</v>
      </c>
      <c r="G88" s="19">
        <f t="shared" si="14"/>
        <v>0.0392156862745098</v>
      </c>
      <c r="H88" s="20">
        <f t="shared" si="15"/>
        <v>-3.2386784521643803</v>
      </c>
      <c r="I88" s="20">
        <f t="shared" si="16"/>
        <v>-0.12700699812409336</v>
      </c>
      <c r="J88" s="34">
        <f t="shared" si="17"/>
        <v>0.0015378700499807767</v>
      </c>
    </row>
    <row r="89" spans="1:10" ht="15.75">
      <c r="A89" s="139">
        <v>8</v>
      </c>
      <c r="B89" s="7" t="s">
        <v>7</v>
      </c>
      <c r="C89" s="21" t="s">
        <v>91</v>
      </c>
      <c r="D89" s="8" t="s">
        <v>8</v>
      </c>
      <c r="E89" s="8" t="s">
        <v>31</v>
      </c>
      <c r="F89" s="8">
        <v>4</v>
      </c>
      <c r="G89" s="19">
        <f t="shared" si="14"/>
        <v>0.0392156862745098</v>
      </c>
      <c r="H89" s="20">
        <f t="shared" si="15"/>
        <v>-3.2386784521643803</v>
      </c>
      <c r="I89" s="20">
        <f t="shared" si="16"/>
        <v>-0.12700699812409336</v>
      </c>
      <c r="J89" s="34">
        <f t="shared" si="17"/>
        <v>0.0015378700499807767</v>
      </c>
    </row>
    <row r="90" spans="1:10" ht="15.75">
      <c r="A90" s="139">
        <v>9</v>
      </c>
      <c r="B90" s="7" t="s">
        <v>7</v>
      </c>
      <c r="C90" s="21" t="s">
        <v>91</v>
      </c>
      <c r="D90" s="8" t="s">
        <v>14</v>
      </c>
      <c r="E90" s="8" t="s">
        <v>9</v>
      </c>
      <c r="F90" s="8">
        <v>1</v>
      </c>
      <c r="G90" s="19">
        <f t="shared" si="14"/>
        <v>0.00980392156862745</v>
      </c>
      <c r="H90" s="20">
        <f t="shared" si="15"/>
        <v>-4.624972813284271</v>
      </c>
      <c r="I90" s="20">
        <f t="shared" si="16"/>
        <v>-0.04534287071847324</v>
      </c>
      <c r="J90" s="34">
        <f t="shared" si="17"/>
        <v>9.611687812379854E-05</v>
      </c>
    </row>
    <row r="91" spans="1:10" ht="15.75">
      <c r="A91" s="139">
        <v>10</v>
      </c>
      <c r="B91" s="7" t="s">
        <v>7</v>
      </c>
      <c r="C91" s="21" t="s">
        <v>91</v>
      </c>
      <c r="D91" s="8" t="s">
        <v>14</v>
      </c>
      <c r="E91" s="8" t="s">
        <v>23</v>
      </c>
      <c r="F91" s="8">
        <v>4</v>
      </c>
      <c r="G91" s="19">
        <f t="shared" si="14"/>
        <v>0.0392156862745098</v>
      </c>
      <c r="H91" s="20">
        <f t="shared" si="15"/>
        <v>-3.2386784521643803</v>
      </c>
      <c r="I91" s="20">
        <f t="shared" si="16"/>
        <v>-0.12700699812409336</v>
      </c>
      <c r="J91" s="34">
        <f t="shared" si="17"/>
        <v>0.0015378700499807767</v>
      </c>
    </row>
    <row r="92" spans="1:10" ht="15.75">
      <c r="A92" s="139">
        <v>11</v>
      </c>
      <c r="B92" s="7" t="s">
        <v>7</v>
      </c>
      <c r="C92" s="21" t="s">
        <v>91</v>
      </c>
      <c r="D92" s="7" t="s">
        <v>12</v>
      </c>
      <c r="E92" s="8" t="s">
        <v>172</v>
      </c>
      <c r="F92" s="8">
        <v>10</v>
      </c>
      <c r="G92" s="19">
        <f t="shared" si="14"/>
        <v>0.09803921568627451</v>
      </c>
      <c r="H92" s="20">
        <f t="shared" si="15"/>
        <v>-2.322387720290225</v>
      </c>
      <c r="I92" s="20">
        <f t="shared" si="16"/>
        <v>-0.22768507061668875</v>
      </c>
      <c r="J92" s="34">
        <f t="shared" si="17"/>
        <v>0.009611687812379853</v>
      </c>
    </row>
    <row r="93" spans="1:10" ht="15.75">
      <c r="A93" s="139">
        <v>12</v>
      </c>
      <c r="B93" s="8" t="s">
        <v>28</v>
      </c>
      <c r="C93" s="21" t="s">
        <v>90</v>
      </c>
      <c r="D93" s="7" t="s">
        <v>25</v>
      </c>
      <c r="E93" s="8" t="s">
        <v>67</v>
      </c>
      <c r="F93" s="8">
        <v>2</v>
      </c>
      <c r="G93" s="19">
        <f t="shared" si="14"/>
        <v>0.0196078431372549</v>
      </c>
      <c r="H93" s="20">
        <f t="shared" si="15"/>
        <v>-3.9318256327243257</v>
      </c>
      <c r="I93" s="20">
        <f t="shared" si="16"/>
        <v>-0.07709462024949658</v>
      </c>
      <c r="J93" s="34">
        <f t="shared" si="17"/>
        <v>0.00038446751249519417</v>
      </c>
    </row>
    <row r="94" spans="1:10" ht="15.75">
      <c r="A94" s="139">
        <v>13</v>
      </c>
      <c r="B94" s="8" t="s">
        <v>7</v>
      </c>
      <c r="C94" s="21" t="s">
        <v>93</v>
      </c>
      <c r="D94" s="7" t="s">
        <v>11</v>
      </c>
      <c r="E94" s="7" t="s">
        <v>176</v>
      </c>
      <c r="F94" s="8">
        <v>9</v>
      </c>
      <c r="G94" s="19">
        <f t="shared" si="14"/>
        <v>0.08823529411764706</v>
      </c>
      <c r="H94" s="20">
        <f t="shared" si="15"/>
        <v>-2.4277482359480516</v>
      </c>
      <c r="I94" s="20">
        <f t="shared" si="16"/>
        <v>-0.21421307964247516</v>
      </c>
      <c r="J94" s="34">
        <f t="shared" si="17"/>
        <v>0.007785467128027683</v>
      </c>
    </row>
    <row r="95" spans="1:10" ht="15.75">
      <c r="A95" s="139">
        <v>14</v>
      </c>
      <c r="B95" s="8" t="s">
        <v>7</v>
      </c>
      <c r="C95" s="21" t="s">
        <v>93</v>
      </c>
      <c r="D95" s="8" t="s">
        <v>11</v>
      </c>
      <c r="E95" s="8" t="s">
        <v>67</v>
      </c>
      <c r="F95" s="8">
        <v>1</v>
      </c>
      <c r="G95" s="19">
        <f t="shared" si="14"/>
        <v>0.00980392156862745</v>
      </c>
      <c r="H95" s="20">
        <f t="shared" si="15"/>
        <v>-4.624972813284271</v>
      </c>
      <c r="I95" s="20">
        <f t="shared" si="16"/>
        <v>-0.04534287071847324</v>
      </c>
      <c r="J95" s="34">
        <f t="shared" si="17"/>
        <v>9.611687812379854E-05</v>
      </c>
    </row>
    <row r="96" spans="1:10" ht="15.75">
      <c r="A96" s="165" t="s">
        <v>82</v>
      </c>
      <c r="B96" s="165"/>
      <c r="C96" s="165"/>
      <c r="D96" s="165"/>
      <c r="E96" s="165"/>
      <c r="F96" s="47">
        <f>SUM(F82:F95)</f>
        <v>102</v>
      </c>
      <c r="G96" s="47"/>
      <c r="H96" s="47"/>
      <c r="I96" s="63">
        <f>SUM(I82:I95)</f>
        <v>-2.328450149613195</v>
      </c>
      <c r="J96" s="63">
        <f>SUM(J82:J95)</f>
        <v>0.11476355247981548</v>
      </c>
    </row>
    <row r="97" spans="1:10" ht="15.75">
      <c r="A97" s="166" t="s">
        <v>83</v>
      </c>
      <c r="B97" s="166"/>
      <c r="C97" s="166"/>
      <c r="D97" s="166"/>
      <c r="E97" s="166"/>
      <c r="F97" s="38"/>
      <c r="G97" s="39"/>
      <c r="H97" s="39"/>
      <c r="I97" s="40">
        <f>-(I96)</f>
        <v>2.328450149613195</v>
      </c>
      <c r="J97" s="39"/>
    </row>
    <row r="98" spans="1:10" ht="15.75">
      <c r="A98" s="167" t="s">
        <v>84</v>
      </c>
      <c r="B98" s="167"/>
      <c r="C98" s="167"/>
      <c r="D98" s="167"/>
      <c r="E98" s="167"/>
      <c r="F98" s="41"/>
      <c r="G98" s="42"/>
      <c r="H98" s="42"/>
      <c r="I98" s="43">
        <f>I97/LN(14)</f>
        <v>0.8823037390978747</v>
      </c>
      <c r="J98" s="42"/>
    </row>
    <row r="99" spans="1:10" ht="15.75">
      <c r="A99" s="168" t="s">
        <v>85</v>
      </c>
      <c r="B99" s="168"/>
      <c r="C99" s="168"/>
      <c r="D99" s="168"/>
      <c r="E99" s="168"/>
      <c r="F99" s="44"/>
      <c r="G99" s="45"/>
      <c r="H99" s="45"/>
      <c r="I99" s="46">
        <f>J96</f>
        <v>0.11476355247981548</v>
      </c>
      <c r="J99" s="45"/>
    </row>
    <row r="101" ht="15">
      <c r="A101" t="s">
        <v>144</v>
      </c>
    </row>
    <row r="102" spans="1:10" ht="15.75">
      <c r="A102" s="65" t="s">
        <v>98</v>
      </c>
      <c r="B102" s="22" t="s">
        <v>6</v>
      </c>
      <c r="C102" s="22" t="s">
        <v>88</v>
      </c>
      <c r="D102" s="22" t="s">
        <v>3</v>
      </c>
      <c r="E102" s="22" t="s">
        <v>65</v>
      </c>
      <c r="F102" s="25" t="s">
        <v>99</v>
      </c>
      <c r="G102" s="25" t="s">
        <v>79</v>
      </c>
      <c r="H102" s="25" t="s">
        <v>81</v>
      </c>
      <c r="I102" s="25" t="s">
        <v>80</v>
      </c>
      <c r="J102" s="65" t="s">
        <v>100</v>
      </c>
    </row>
    <row r="103" spans="1:10" ht="15.75">
      <c r="A103" s="139">
        <v>1</v>
      </c>
      <c r="B103" s="21" t="s">
        <v>158</v>
      </c>
      <c r="C103" s="21" t="s">
        <v>89</v>
      </c>
      <c r="D103" s="21" t="s">
        <v>21</v>
      </c>
      <c r="E103" s="21" t="s">
        <v>177</v>
      </c>
      <c r="F103" s="8">
        <v>1</v>
      </c>
      <c r="G103" s="34">
        <f>F103/123</f>
        <v>0.008130081300813009</v>
      </c>
      <c r="H103" s="8">
        <f>LN(G103)</f>
        <v>-4.812184355372417</v>
      </c>
      <c r="I103" s="8">
        <f>G103*H103</f>
        <v>-0.03912345004367819</v>
      </c>
      <c r="J103" s="35">
        <f>G103^2</f>
        <v>6.609822195782934E-05</v>
      </c>
    </row>
    <row r="104" spans="1:10" ht="15.75">
      <c r="A104" s="139">
        <v>2</v>
      </c>
      <c r="B104" s="21" t="s">
        <v>7</v>
      </c>
      <c r="C104" s="21" t="s">
        <v>91</v>
      </c>
      <c r="D104" s="8" t="s">
        <v>20</v>
      </c>
      <c r="E104" s="21" t="s">
        <v>9</v>
      </c>
      <c r="F104" s="8">
        <v>12</v>
      </c>
      <c r="G104" s="34">
        <f aca="true" t="shared" si="18" ref="G104:G114">F104/123</f>
        <v>0.0975609756097561</v>
      </c>
      <c r="H104" s="8">
        <f aca="true" t="shared" si="19" ref="H104:H114">LN(G104)</f>
        <v>-2.327277705584417</v>
      </c>
      <c r="I104" s="8">
        <f aca="true" t="shared" si="20" ref="I104:I114">G104*H104</f>
        <v>-0.22705148347165047</v>
      </c>
      <c r="J104" s="35">
        <f aca="true" t="shared" si="21" ref="J104:J114">G104^2</f>
        <v>0.009518143961927425</v>
      </c>
    </row>
    <row r="105" spans="1:10" ht="15.75">
      <c r="A105" s="139">
        <v>3</v>
      </c>
      <c r="B105" s="21" t="s">
        <v>7</v>
      </c>
      <c r="C105" s="21" t="s">
        <v>91</v>
      </c>
      <c r="D105" s="8" t="s">
        <v>8</v>
      </c>
      <c r="E105" s="8" t="s">
        <v>167</v>
      </c>
      <c r="F105" s="8">
        <v>2</v>
      </c>
      <c r="G105" s="34">
        <f t="shared" si="18"/>
        <v>0.016260162601626018</v>
      </c>
      <c r="H105" s="8">
        <f t="shared" si="19"/>
        <v>-4.119037174812472</v>
      </c>
      <c r="I105" s="8">
        <f t="shared" si="20"/>
        <v>-0.06697621422459304</v>
      </c>
      <c r="J105" s="35">
        <f t="shared" si="21"/>
        <v>0.0002643928878313174</v>
      </c>
    </row>
    <row r="106" spans="1:10" ht="15.75">
      <c r="A106" s="139">
        <v>4</v>
      </c>
      <c r="B106" s="21" t="s">
        <v>7</v>
      </c>
      <c r="C106" s="21" t="s">
        <v>91</v>
      </c>
      <c r="D106" s="8" t="s">
        <v>8</v>
      </c>
      <c r="E106" s="8" t="s">
        <v>169</v>
      </c>
      <c r="F106" s="8">
        <v>32</v>
      </c>
      <c r="G106" s="34">
        <f t="shared" si="18"/>
        <v>0.2601626016260163</v>
      </c>
      <c r="H106" s="8">
        <f t="shared" si="19"/>
        <v>-1.3464484525726907</v>
      </c>
      <c r="I106" s="8">
        <f t="shared" si="20"/>
        <v>-0.350295532376635</v>
      </c>
      <c r="J106" s="35">
        <f t="shared" si="21"/>
        <v>0.06768457928481725</v>
      </c>
    </row>
    <row r="107" spans="1:10" ht="15.75">
      <c r="A107" s="139">
        <v>5</v>
      </c>
      <c r="B107" s="7" t="s">
        <v>7</v>
      </c>
      <c r="C107" s="21" t="s">
        <v>91</v>
      </c>
      <c r="D107" s="8" t="s">
        <v>8</v>
      </c>
      <c r="E107" s="8" t="s">
        <v>170</v>
      </c>
      <c r="F107" s="8">
        <v>2</v>
      </c>
      <c r="G107" s="34">
        <f t="shared" si="18"/>
        <v>0.016260162601626018</v>
      </c>
      <c r="H107" s="8">
        <f t="shared" si="19"/>
        <v>-4.119037174812472</v>
      </c>
      <c r="I107" s="8">
        <f t="shared" si="20"/>
        <v>-0.06697621422459304</v>
      </c>
      <c r="J107" s="35">
        <f t="shared" si="21"/>
        <v>0.0002643928878313174</v>
      </c>
    </row>
    <row r="108" spans="1:10" ht="15.75">
      <c r="A108" s="139">
        <v>6</v>
      </c>
      <c r="B108" s="7" t="s">
        <v>7</v>
      </c>
      <c r="C108" s="21" t="s">
        <v>91</v>
      </c>
      <c r="D108" s="8" t="s">
        <v>8</v>
      </c>
      <c r="E108" s="21" t="s">
        <v>9</v>
      </c>
      <c r="F108" s="8">
        <v>36</v>
      </c>
      <c r="G108" s="34">
        <f t="shared" si="18"/>
        <v>0.2926829268292683</v>
      </c>
      <c r="H108" s="8">
        <f t="shared" si="19"/>
        <v>-1.2286654169163076</v>
      </c>
      <c r="I108" s="8">
        <f t="shared" si="20"/>
        <v>-0.35960939031696804</v>
      </c>
      <c r="J108" s="35">
        <f t="shared" si="21"/>
        <v>0.0856632956573468</v>
      </c>
    </row>
    <row r="109" spans="1:10" ht="15.75">
      <c r="A109" s="139">
        <v>7</v>
      </c>
      <c r="B109" s="7" t="s">
        <v>7</v>
      </c>
      <c r="C109" s="21" t="s">
        <v>91</v>
      </c>
      <c r="D109" s="8" t="s">
        <v>8</v>
      </c>
      <c r="E109" s="21" t="s">
        <v>16</v>
      </c>
      <c r="F109" s="8">
        <v>4</v>
      </c>
      <c r="G109" s="34">
        <f t="shared" si="18"/>
        <v>0.032520325203252036</v>
      </c>
      <c r="H109" s="8">
        <f t="shared" si="19"/>
        <v>-3.4258899942525267</v>
      </c>
      <c r="I109" s="8">
        <f t="shared" si="20"/>
        <v>-0.11141105672365942</v>
      </c>
      <c r="J109" s="35">
        <f t="shared" si="21"/>
        <v>0.0010575715513252695</v>
      </c>
    </row>
    <row r="110" spans="1:10" ht="15.75">
      <c r="A110" s="139">
        <v>8</v>
      </c>
      <c r="B110" s="7" t="s">
        <v>7</v>
      </c>
      <c r="C110" s="21" t="s">
        <v>91</v>
      </c>
      <c r="D110" s="8" t="s">
        <v>14</v>
      </c>
      <c r="E110" s="8" t="s">
        <v>9</v>
      </c>
      <c r="F110" s="8">
        <v>4</v>
      </c>
      <c r="G110" s="34">
        <f t="shared" si="18"/>
        <v>0.032520325203252036</v>
      </c>
      <c r="H110" s="8">
        <f t="shared" si="19"/>
        <v>-3.4258899942525267</v>
      </c>
      <c r="I110" s="8">
        <f t="shared" si="20"/>
        <v>-0.11141105672365942</v>
      </c>
      <c r="J110" s="35">
        <f t="shared" si="21"/>
        <v>0.0010575715513252695</v>
      </c>
    </row>
    <row r="111" spans="1:10" ht="15.75">
      <c r="A111" s="139">
        <v>9</v>
      </c>
      <c r="B111" s="7" t="s">
        <v>7</v>
      </c>
      <c r="C111" s="21" t="s">
        <v>91</v>
      </c>
      <c r="D111" s="8" t="s">
        <v>14</v>
      </c>
      <c r="E111" s="8" t="s">
        <v>16</v>
      </c>
      <c r="F111" s="8">
        <v>1</v>
      </c>
      <c r="G111" s="34">
        <f t="shared" si="18"/>
        <v>0.008130081300813009</v>
      </c>
      <c r="H111" s="8">
        <f t="shared" si="19"/>
        <v>-4.812184355372417</v>
      </c>
      <c r="I111" s="8">
        <f t="shared" si="20"/>
        <v>-0.03912345004367819</v>
      </c>
      <c r="J111" s="35">
        <f t="shared" si="21"/>
        <v>6.609822195782934E-05</v>
      </c>
    </row>
    <row r="112" spans="1:10" ht="15.75">
      <c r="A112" s="139">
        <v>10</v>
      </c>
      <c r="B112" s="7" t="s">
        <v>7</v>
      </c>
      <c r="C112" s="21" t="s">
        <v>91</v>
      </c>
      <c r="D112" s="7" t="s">
        <v>12</v>
      </c>
      <c r="E112" s="8" t="s">
        <v>172</v>
      </c>
      <c r="F112" s="8">
        <v>16</v>
      </c>
      <c r="G112" s="34">
        <f t="shared" si="18"/>
        <v>0.13008130081300814</v>
      </c>
      <c r="H112" s="8">
        <f t="shared" si="19"/>
        <v>-2.0395956331326364</v>
      </c>
      <c r="I112" s="8">
        <f t="shared" si="20"/>
        <v>-0.26531325309042425</v>
      </c>
      <c r="J112" s="35">
        <f t="shared" si="21"/>
        <v>0.016921144821204312</v>
      </c>
    </row>
    <row r="113" spans="1:10" ht="15.75">
      <c r="A113" s="139">
        <v>11</v>
      </c>
      <c r="B113" s="8" t="s">
        <v>7</v>
      </c>
      <c r="C113" s="21" t="s">
        <v>93</v>
      </c>
      <c r="D113" s="7" t="s">
        <v>11</v>
      </c>
      <c r="E113" s="7" t="s">
        <v>176</v>
      </c>
      <c r="F113" s="8">
        <v>3</v>
      </c>
      <c r="G113" s="34">
        <f t="shared" si="18"/>
        <v>0.024390243902439025</v>
      </c>
      <c r="H113" s="8">
        <f t="shared" si="19"/>
        <v>-3.713572066704308</v>
      </c>
      <c r="I113" s="8">
        <f t="shared" si="20"/>
        <v>-0.09057492845620263</v>
      </c>
      <c r="J113" s="35">
        <f t="shared" si="21"/>
        <v>0.000594883997620464</v>
      </c>
    </row>
    <row r="114" spans="1:10" ht="15.75">
      <c r="A114" s="139">
        <v>12</v>
      </c>
      <c r="B114" s="8" t="s">
        <v>7</v>
      </c>
      <c r="C114" s="21" t="s">
        <v>93</v>
      </c>
      <c r="D114" s="8" t="s">
        <v>11</v>
      </c>
      <c r="E114" s="8" t="s">
        <v>67</v>
      </c>
      <c r="F114" s="8">
        <v>10</v>
      </c>
      <c r="G114" s="34">
        <f t="shared" si="18"/>
        <v>0.08130081300813008</v>
      </c>
      <c r="H114" s="8">
        <f t="shared" si="19"/>
        <v>-2.509599262378372</v>
      </c>
      <c r="I114" s="8">
        <f t="shared" si="20"/>
        <v>-0.2040324603559652</v>
      </c>
      <c r="J114" s="35">
        <f t="shared" si="21"/>
        <v>0.006609822195782933</v>
      </c>
    </row>
    <row r="115" spans="1:10" ht="15.75">
      <c r="A115" s="165" t="s">
        <v>82</v>
      </c>
      <c r="B115" s="165"/>
      <c r="C115" s="165"/>
      <c r="D115" s="165"/>
      <c r="E115" s="165"/>
      <c r="F115" s="47">
        <f>SUM(F103:F114)</f>
        <v>123</v>
      </c>
      <c r="G115" s="47"/>
      <c r="H115" s="47"/>
      <c r="I115" s="47">
        <f>SUM(I103:I114)</f>
        <v>-1.931898490051707</v>
      </c>
      <c r="J115" s="48">
        <f>SUM(J103:J114)</f>
        <v>0.18976799524092802</v>
      </c>
    </row>
    <row r="116" spans="1:10" ht="15.75">
      <c r="A116" s="166" t="s">
        <v>83</v>
      </c>
      <c r="B116" s="166"/>
      <c r="C116" s="166"/>
      <c r="D116" s="166"/>
      <c r="E116" s="166"/>
      <c r="F116" s="38"/>
      <c r="G116" s="39"/>
      <c r="H116" s="39"/>
      <c r="I116" s="40">
        <f>-(I115)</f>
        <v>1.931898490051707</v>
      </c>
      <c r="J116" s="39"/>
    </row>
    <row r="117" spans="1:10" ht="15.75">
      <c r="A117" s="167" t="s">
        <v>84</v>
      </c>
      <c r="B117" s="167"/>
      <c r="C117" s="167"/>
      <c r="D117" s="167"/>
      <c r="E117" s="167"/>
      <c r="F117" s="41"/>
      <c r="G117" s="42"/>
      <c r="H117" s="42"/>
      <c r="I117" s="43">
        <f>I116/LN(12)</f>
        <v>0.7774531450573916</v>
      </c>
      <c r="J117" s="42"/>
    </row>
    <row r="118" spans="1:10" ht="15.75">
      <c r="A118" s="168" t="s">
        <v>85</v>
      </c>
      <c r="B118" s="168"/>
      <c r="C118" s="168"/>
      <c r="D118" s="168"/>
      <c r="E118" s="168"/>
      <c r="F118" s="44"/>
      <c r="G118" s="45"/>
      <c r="H118" s="45"/>
      <c r="I118" s="46">
        <f>J115</f>
        <v>0.18976799524092802</v>
      </c>
      <c r="J118" s="45"/>
    </row>
    <row r="120" ht="15">
      <c r="A120" t="s">
        <v>161</v>
      </c>
    </row>
    <row r="121" spans="1:10" ht="15">
      <c r="A121" s="72" t="s">
        <v>86</v>
      </c>
      <c r="B121" s="66" t="s">
        <v>6</v>
      </c>
      <c r="C121" s="66" t="s">
        <v>88</v>
      </c>
      <c r="D121" s="66" t="s">
        <v>3</v>
      </c>
      <c r="E121" s="66" t="s">
        <v>65</v>
      </c>
      <c r="F121" s="66" t="s">
        <v>66</v>
      </c>
      <c r="G121" s="67" t="s">
        <v>79</v>
      </c>
      <c r="H121" s="67" t="s">
        <v>81</v>
      </c>
      <c r="I121" s="67" t="s">
        <v>80</v>
      </c>
      <c r="J121" s="67" t="s">
        <v>87</v>
      </c>
    </row>
    <row r="122" spans="1:10" ht="15">
      <c r="A122" s="73">
        <v>1</v>
      </c>
      <c r="B122" s="74" t="s">
        <v>158</v>
      </c>
      <c r="C122" s="68" t="s">
        <v>89</v>
      </c>
      <c r="D122" s="68" t="s">
        <v>21</v>
      </c>
      <c r="E122" s="68" t="s">
        <v>177</v>
      </c>
      <c r="F122" s="75">
        <f>1+1+3+2+1</f>
        <v>8</v>
      </c>
      <c r="G122" s="76">
        <f aca="true" t="shared" si="22" ref="G122:G152">F122/960</f>
        <v>0.008333333333333333</v>
      </c>
      <c r="H122" s="78">
        <f>LN(G122)</f>
        <v>-4.787491742782046</v>
      </c>
      <c r="I122" s="76">
        <f>G122*H122</f>
        <v>-0.03989576452318371</v>
      </c>
      <c r="J122" s="85">
        <f>G122^2</f>
        <v>6.944444444444444E-05</v>
      </c>
    </row>
    <row r="123" spans="1:10" ht="15">
      <c r="A123" s="73">
        <v>2</v>
      </c>
      <c r="B123" s="74" t="s">
        <v>158</v>
      </c>
      <c r="C123" s="68" t="s">
        <v>89</v>
      </c>
      <c r="D123" s="68" t="s">
        <v>21</v>
      </c>
      <c r="E123" s="68" t="s">
        <v>162</v>
      </c>
      <c r="F123" s="75">
        <f>1+0+0+0+0</f>
        <v>1</v>
      </c>
      <c r="G123" s="76">
        <f t="shared" si="22"/>
        <v>0.0010416666666666667</v>
      </c>
      <c r="H123" s="78">
        <f aca="true" t="shared" si="23" ref="H123:H149">LN(G123)</f>
        <v>-6.866933284461882</v>
      </c>
      <c r="I123" s="76">
        <f aca="true" t="shared" si="24" ref="I123:I149">G123*H123</f>
        <v>-0.007153055504647793</v>
      </c>
      <c r="J123" s="82">
        <f aca="true" t="shared" si="25" ref="J123:J149">G123^2</f>
        <v>1.0850694444444444E-06</v>
      </c>
    </row>
    <row r="124" spans="1:10" ht="15">
      <c r="A124" s="73">
        <v>3</v>
      </c>
      <c r="B124" s="75" t="s">
        <v>28</v>
      </c>
      <c r="C124" s="69" t="s">
        <v>89</v>
      </c>
      <c r="D124" s="68" t="s">
        <v>26</v>
      </c>
      <c r="E124" s="68" t="s">
        <v>67</v>
      </c>
      <c r="F124" s="75">
        <f>4+0+13+0+0</f>
        <v>17</v>
      </c>
      <c r="G124" s="76">
        <f>F124/960</f>
        <v>0.017708333333333333</v>
      </c>
      <c r="H124" s="78">
        <f>LN(G124)</f>
        <v>-4.033719940405666</v>
      </c>
      <c r="I124" s="76">
        <f>G124*H124</f>
        <v>-0.071430457278017</v>
      </c>
      <c r="J124" s="82">
        <f>G124^2</f>
        <v>0.0003135850694444444</v>
      </c>
    </row>
    <row r="125" spans="1:10" ht="15">
      <c r="A125" s="73">
        <v>4</v>
      </c>
      <c r="B125" s="74" t="s">
        <v>19</v>
      </c>
      <c r="C125" s="68" t="s">
        <v>89</v>
      </c>
      <c r="D125" s="68" t="s">
        <v>29</v>
      </c>
      <c r="E125" s="69" t="s">
        <v>67</v>
      </c>
      <c r="F125" s="75">
        <f>6+3+7+0+0</f>
        <v>16</v>
      </c>
      <c r="G125" s="76">
        <f t="shared" si="22"/>
        <v>0.016666666666666666</v>
      </c>
      <c r="H125" s="78">
        <f t="shared" si="23"/>
        <v>-4.0943445622221</v>
      </c>
      <c r="I125" s="76">
        <f t="shared" si="24"/>
        <v>-0.06823907603703501</v>
      </c>
      <c r="J125" s="82">
        <f t="shared" si="25"/>
        <v>0.0002777777777777778</v>
      </c>
    </row>
    <row r="126" spans="1:10" ht="15">
      <c r="A126" s="73">
        <v>5</v>
      </c>
      <c r="B126" s="75" t="s">
        <v>7</v>
      </c>
      <c r="C126" s="69" t="s">
        <v>91</v>
      </c>
      <c r="D126" s="69" t="s">
        <v>20</v>
      </c>
      <c r="E126" s="68" t="s">
        <v>165</v>
      </c>
      <c r="F126" s="75">
        <f>7+1+21+4+12+13</f>
        <v>58</v>
      </c>
      <c r="G126" s="76">
        <f t="shared" si="22"/>
        <v>0.06041666666666667</v>
      </c>
      <c r="H126" s="78">
        <f t="shared" si="23"/>
        <v>-2.8064902739154625</v>
      </c>
      <c r="I126" s="76">
        <f t="shared" si="24"/>
        <v>-0.16955878738239252</v>
      </c>
      <c r="J126" s="82">
        <f t="shared" si="25"/>
        <v>0.003650173611111111</v>
      </c>
    </row>
    <row r="127" spans="1:10" ht="15">
      <c r="A127" s="73">
        <v>6</v>
      </c>
      <c r="B127" s="75" t="s">
        <v>7</v>
      </c>
      <c r="C127" s="69" t="s">
        <v>91</v>
      </c>
      <c r="D127" s="69" t="s">
        <v>20</v>
      </c>
      <c r="E127" s="68" t="s">
        <v>166</v>
      </c>
      <c r="F127" s="75">
        <f>0+5+0+0+0</f>
        <v>5</v>
      </c>
      <c r="G127" s="76">
        <f t="shared" si="22"/>
        <v>0.005208333333333333</v>
      </c>
      <c r="H127" s="78">
        <f t="shared" si="23"/>
        <v>-5.2574953720277815</v>
      </c>
      <c r="I127" s="76">
        <f t="shared" si="24"/>
        <v>-0.027382788395978026</v>
      </c>
      <c r="J127" s="82">
        <f t="shared" si="25"/>
        <v>2.712673611111111E-05</v>
      </c>
    </row>
    <row r="128" spans="1:10" ht="15">
      <c r="A128" s="73">
        <v>7</v>
      </c>
      <c r="B128" s="74" t="s">
        <v>7</v>
      </c>
      <c r="C128" s="68" t="s">
        <v>91</v>
      </c>
      <c r="D128" s="69" t="s">
        <v>8</v>
      </c>
      <c r="E128" s="69" t="s">
        <v>167</v>
      </c>
      <c r="F128" s="75">
        <f>10+36+29+16+2</f>
        <v>93</v>
      </c>
      <c r="G128" s="76">
        <f t="shared" si="22"/>
        <v>0.096875</v>
      </c>
      <c r="H128" s="78">
        <f t="shared" si="23"/>
        <v>-2.334333791308626</v>
      </c>
      <c r="I128" s="76">
        <f t="shared" si="24"/>
        <v>-0.22613858603302317</v>
      </c>
      <c r="J128" s="82">
        <f t="shared" si="25"/>
        <v>0.009384765625000001</v>
      </c>
    </row>
    <row r="129" spans="1:10" ht="15">
      <c r="A129" s="73">
        <v>8</v>
      </c>
      <c r="B129" s="74" t="s">
        <v>7</v>
      </c>
      <c r="C129" s="68" t="s">
        <v>91</v>
      </c>
      <c r="D129" s="69" t="s">
        <v>8</v>
      </c>
      <c r="E129" s="69" t="s">
        <v>168</v>
      </c>
      <c r="F129" s="75">
        <f>1+2+0+0+0</f>
        <v>3</v>
      </c>
      <c r="G129" s="76">
        <f t="shared" si="22"/>
        <v>0.003125</v>
      </c>
      <c r="H129" s="78">
        <f t="shared" si="23"/>
        <v>-5.768320995793772</v>
      </c>
      <c r="I129" s="76">
        <f t="shared" si="24"/>
        <v>-0.018026003111855537</v>
      </c>
      <c r="J129" s="82">
        <f t="shared" si="25"/>
        <v>9.765625000000002E-06</v>
      </c>
    </row>
    <row r="130" spans="1:10" ht="15">
      <c r="A130" s="73">
        <v>9</v>
      </c>
      <c r="B130" s="74" t="s">
        <v>7</v>
      </c>
      <c r="C130" s="68" t="s">
        <v>91</v>
      </c>
      <c r="D130" s="69" t="s">
        <v>8</v>
      </c>
      <c r="E130" s="69" t="s">
        <v>169</v>
      </c>
      <c r="F130" s="75">
        <f>52+97+19+13+32</f>
        <v>213</v>
      </c>
      <c r="G130" s="76">
        <f t="shared" si="22"/>
        <v>0.221875</v>
      </c>
      <c r="H130" s="78">
        <f t="shared" si="23"/>
        <v>-1.5056411187524568</v>
      </c>
      <c r="I130" s="76">
        <f t="shared" si="24"/>
        <v>-0.33406412322320134</v>
      </c>
      <c r="J130" s="82">
        <f t="shared" si="25"/>
        <v>0.049228515625</v>
      </c>
    </row>
    <row r="131" spans="1:10" ht="15">
      <c r="A131" s="73">
        <v>10</v>
      </c>
      <c r="B131" s="75" t="s">
        <v>7</v>
      </c>
      <c r="C131" s="69" t="s">
        <v>91</v>
      </c>
      <c r="D131" s="69" t="s">
        <v>8</v>
      </c>
      <c r="E131" s="69" t="s">
        <v>170</v>
      </c>
      <c r="F131" s="75">
        <f>8+59+7+15+2</f>
        <v>91</v>
      </c>
      <c r="G131" s="76">
        <f t="shared" si="22"/>
        <v>0.09479166666666666</v>
      </c>
      <c r="H131" s="78">
        <f>LN(G131)</f>
        <v>-2.356073777945032</v>
      </c>
      <c r="I131" s="76">
        <f>G131*H131</f>
        <v>-0.22333616020103947</v>
      </c>
      <c r="J131" s="82">
        <f>G131^2</f>
        <v>0.008985460069444444</v>
      </c>
    </row>
    <row r="132" spans="1:10" ht="15">
      <c r="A132" s="73">
        <v>11</v>
      </c>
      <c r="B132" s="75" t="s">
        <v>7</v>
      </c>
      <c r="C132" s="68" t="s">
        <v>91</v>
      </c>
      <c r="D132" s="69" t="s">
        <v>8</v>
      </c>
      <c r="E132" s="68" t="s">
        <v>9</v>
      </c>
      <c r="F132" s="75">
        <f>34+13+11+17+36</f>
        <v>111</v>
      </c>
      <c r="G132" s="76">
        <f t="shared" si="22"/>
        <v>0.115625</v>
      </c>
      <c r="H132" s="78">
        <f t="shared" si="23"/>
        <v>-2.1574030831495477</v>
      </c>
      <c r="I132" s="76">
        <f t="shared" si="24"/>
        <v>-0.24944973148916647</v>
      </c>
      <c r="J132" s="82">
        <f t="shared" si="25"/>
        <v>0.013369140625000001</v>
      </c>
    </row>
    <row r="133" spans="1:10" ht="15">
      <c r="A133" s="73">
        <v>12</v>
      </c>
      <c r="B133" s="75" t="s">
        <v>7</v>
      </c>
      <c r="C133" s="68" t="s">
        <v>91</v>
      </c>
      <c r="D133" s="69" t="s">
        <v>8</v>
      </c>
      <c r="E133" s="68" t="s">
        <v>16</v>
      </c>
      <c r="F133" s="75">
        <f>1+2+19+4+4</f>
        <v>30</v>
      </c>
      <c r="G133" s="76">
        <f t="shared" si="22"/>
        <v>0.03125</v>
      </c>
      <c r="H133" s="78">
        <f t="shared" si="23"/>
        <v>-3.4657359027997265</v>
      </c>
      <c r="I133" s="76">
        <f t="shared" si="24"/>
        <v>-0.10830424696249145</v>
      </c>
      <c r="J133" s="82">
        <f t="shared" si="25"/>
        <v>0.0009765625</v>
      </c>
    </row>
    <row r="134" spans="1:10" ht="15">
      <c r="A134" s="73">
        <v>13</v>
      </c>
      <c r="B134" s="75" t="s">
        <v>7</v>
      </c>
      <c r="C134" s="68" t="s">
        <v>91</v>
      </c>
      <c r="D134" s="69" t="s">
        <v>8</v>
      </c>
      <c r="E134" s="68" t="s">
        <v>23</v>
      </c>
      <c r="F134" s="75">
        <f>0+5+0+0+0</f>
        <v>5</v>
      </c>
      <c r="G134" s="76">
        <f t="shared" si="22"/>
        <v>0.005208333333333333</v>
      </c>
      <c r="H134" s="78">
        <f t="shared" si="23"/>
        <v>-5.2574953720277815</v>
      </c>
      <c r="I134" s="76">
        <f t="shared" si="24"/>
        <v>-0.027382788395978026</v>
      </c>
      <c r="J134" s="82">
        <f t="shared" si="25"/>
        <v>2.712673611111111E-05</v>
      </c>
    </row>
    <row r="135" spans="1:10" ht="15">
      <c r="A135" s="73">
        <v>14</v>
      </c>
      <c r="B135" s="75" t="s">
        <v>7</v>
      </c>
      <c r="C135" s="68" t="s">
        <v>91</v>
      </c>
      <c r="D135" s="69" t="s">
        <v>8</v>
      </c>
      <c r="E135" s="68" t="s">
        <v>31</v>
      </c>
      <c r="F135" s="75">
        <f>0+1+0+4+0</f>
        <v>5</v>
      </c>
      <c r="G135" s="76">
        <f t="shared" si="22"/>
        <v>0.005208333333333333</v>
      </c>
      <c r="H135" s="78">
        <f t="shared" si="23"/>
        <v>-5.2574953720277815</v>
      </c>
      <c r="I135" s="76">
        <f t="shared" si="24"/>
        <v>-0.027382788395978026</v>
      </c>
      <c r="J135" s="82">
        <f t="shared" si="25"/>
        <v>2.712673611111111E-05</v>
      </c>
    </row>
    <row r="136" spans="1:10" ht="15">
      <c r="A136" s="73">
        <v>15</v>
      </c>
      <c r="B136" s="75" t="s">
        <v>7</v>
      </c>
      <c r="C136" s="68" t="s">
        <v>91</v>
      </c>
      <c r="D136" s="69" t="s">
        <v>14</v>
      </c>
      <c r="E136" s="68" t="s">
        <v>9</v>
      </c>
      <c r="F136" s="75">
        <f>0+2+0+1+4</f>
        <v>7</v>
      </c>
      <c r="G136" s="76">
        <f t="shared" si="22"/>
        <v>0.007291666666666667</v>
      </c>
      <c r="H136" s="78">
        <f t="shared" si="23"/>
        <v>-4.9210231354065685</v>
      </c>
      <c r="I136" s="76">
        <f t="shared" si="24"/>
        <v>-0.035882460362339566</v>
      </c>
      <c r="J136" s="82">
        <f t="shared" si="25"/>
        <v>5.316840277777778E-05</v>
      </c>
    </row>
    <row r="137" spans="1:10" ht="15">
      <c r="A137" s="73">
        <v>16</v>
      </c>
      <c r="B137" s="75" t="s">
        <v>7</v>
      </c>
      <c r="C137" s="68" t="s">
        <v>91</v>
      </c>
      <c r="D137" s="69" t="s">
        <v>14</v>
      </c>
      <c r="E137" s="68" t="s">
        <v>16</v>
      </c>
      <c r="F137" s="75">
        <f>0+4+0+0+1</f>
        <v>5</v>
      </c>
      <c r="G137" s="76">
        <f t="shared" si="22"/>
        <v>0.005208333333333333</v>
      </c>
      <c r="H137" s="78">
        <f t="shared" si="23"/>
        <v>-5.2574953720277815</v>
      </c>
      <c r="I137" s="76">
        <f t="shared" si="24"/>
        <v>-0.027382788395978026</v>
      </c>
      <c r="J137" s="82">
        <f t="shared" si="25"/>
        <v>2.712673611111111E-05</v>
      </c>
    </row>
    <row r="138" spans="1:10" ht="15">
      <c r="A138" s="73">
        <v>17</v>
      </c>
      <c r="B138" s="75" t="s">
        <v>7</v>
      </c>
      <c r="C138" s="68" t="s">
        <v>91</v>
      </c>
      <c r="D138" s="69" t="s">
        <v>14</v>
      </c>
      <c r="E138" s="68" t="s">
        <v>23</v>
      </c>
      <c r="F138" s="75">
        <f>0+0+1+4+0</f>
        <v>5</v>
      </c>
      <c r="G138" s="76">
        <f t="shared" si="22"/>
        <v>0.005208333333333333</v>
      </c>
      <c r="H138" s="78">
        <f t="shared" si="23"/>
        <v>-5.2574953720277815</v>
      </c>
      <c r="I138" s="76">
        <f t="shared" si="24"/>
        <v>-0.027382788395978026</v>
      </c>
      <c r="J138" s="82">
        <f t="shared" si="25"/>
        <v>2.712673611111111E-05</v>
      </c>
    </row>
    <row r="139" spans="1:10" ht="15">
      <c r="A139" s="73">
        <v>18</v>
      </c>
      <c r="B139" s="75" t="s">
        <v>7</v>
      </c>
      <c r="C139" s="68" t="s">
        <v>91</v>
      </c>
      <c r="D139" s="69" t="s">
        <v>14</v>
      </c>
      <c r="E139" s="68" t="s">
        <v>31</v>
      </c>
      <c r="F139" s="75">
        <f>0+13+0+0+0</f>
        <v>13</v>
      </c>
      <c r="G139" s="76">
        <f t="shared" si="22"/>
        <v>0.013541666666666667</v>
      </c>
      <c r="H139" s="78">
        <f t="shared" si="23"/>
        <v>-4.301983927000345</v>
      </c>
      <c r="I139" s="76">
        <f t="shared" si="24"/>
        <v>-0.05825603234479634</v>
      </c>
      <c r="J139" s="82">
        <f t="shared" si="25"/>
        <v>0.00018337673611111113</v>
      </c>
    </row>
    <row r="140" spans="1:10" ht="15">
      <c r="A140" s="73">
        <v>19</v>
      </c>
      <c r="B140" s="75" t="s">
        <v>7</v>
      </c>
      <c r="C140" s="68" t="s">
        <v>91</v>
      </c>
      <c r="D140" s="69" t="s">
        <v>12</v>
      </c>
      <c r="E140" s="69" t="s">
        <v>171</v>
      </c>
      <c r="F140" s="75">
        <f>0+3+2+0+0</f>
        <v>5</v>
      </c>
      <c r="G140" s="76">
        <f t="shared" si="22"/>
        <v>0.005208333333333333</v>
      </c>
      <c r="H140" s="78">
        <f t="shared" si="23"/>
        <v>-5.2574953720277815</v>
      </c>
      <c r="I140" s="76">
        <f t="shared" si="24"/>
        <v>-0.027382788395978026</v>
      </c>
      <c r="J140" s="82">
        <f t="shared" si="25"/>
        <v>2.712673611111111E-05</v>
      </c>
    </row>
    <row r="141" spans="1:10" ht="15">
      <c r="A141" s="73">
        <v>20</v>
      </c>
      <c r="B141" s="75" t="s">
        <v>7</v>
      </c>
      <c r="C141" s="68" t="s">
        <v>91</v>
      </c>
      <c r="D141" s="69" t="s">
        <v>12</v>
      </c>
      <c r="E141" s="69" t="s">
        <v>172</v>
      </c>
      <c r="F141" s="75">
        <f>16+10+16+34+26</f>
        <v>102</v>
      </c>
      <c r="G141" s="76">
        <f t="shared" si="22"/>
        <v>0.10625</v>
      </c>
      <c r="H141" s="78">
        <f t="shared" si="23"/>
        <v>-2.241960471177611</v>
      </c>
      <c r="I141" s="76">
        <f t="shared" si="24"/>
        <v>-0.23820830006262114</v>
      </c>
      <c r="J141" s="82">
        <f t="shared" si="25"/>
        <v>0.011289062499999999</v>
      </c>
    </row>
    <row r="142" spans="1:10" ht="15">
      <c r="A142" s="73">
        <v>21</v>
      </c>
      <c r="B142" s="75" t="s">
        <v>7</v>
      </c>
      <c r="C142" s="68" t="s">
        <v>91</v>
      </c>
      <c r="D142" s="69" t="s">
        <v>36</v>
      </c>
      <c r="E142" s="68" t="s">
        <v>67</v>
      </c>
      <c r="F142" s="75">
        <f>4+4+0+0+0</f>
        <v>8</v>
      </c>
      <c r="G142" s="76">
        <f t="shared" si="22"/>
        <v>0.008333333333333333</v>
      </c>
      <c r="H142" s="78">
        <f t="shared" si="23"/>
        <v>-4.787491742782046</v>
      </c>
      <c r="I142" s="76">
        <f t="shared" si="24"/>
        <v>-0.03989576452318371</v>
      </c>
      <c r="J142" s="82">
        <f t="shared" si="25"/>
        <v>6.944444444444444E-05</v>
      </c>
    </row>
    <row r="143" spans="1:10" ht="15">
      <c r="A143" s="73">
        <v>22</v>
      </c>
      <c r="B143" s="74" t="s">
        <v>159</v>
      </c>
      <c r="C143" s="68" t="s">
        <v>96</v>
      </c>
      <c r="D143" s="68" t="s">
        <v>35</v>
      </c>
      <c r="E143" s="70" t="s">
        <v>173</v>
      </c>
      <c r="F143" s="75">
        <f>2+0+0+0+0</f>
        <v>2</v>
      </c>
      <c r="G143" s="76">
        <f t="shared" si="22"/>
        <v>0.0020833333333333333</v>
      </c>
      <c r="H143" s="78">
        <f t="shared" si="23"/>
        <v>-6.173786103901937</v>
      </c>
      <c r="I143" s="76">
        <f t="shared" si="24"/>
        <v>-0.012862054383129035</v>
      </c>
      <c r="J143" s="82">
        <f t="shared" si="25"/>
        <v>4.340277777777778E-06</v>
      </c>
    </row>
    <row r="144" spans="1:10" ht="15">
      <c r="A144" s="73">
        <v>23</v>
      </c>
      <c r="B144" s="75" t="s">
        <v>28</v>
      </c>
      <c r="C144" s="69" t="s">
        <v>92</v>
      </c>
      <c r="D144" s="69" t="s">
        <v>59</v>
      </c>
      <c r="E144" s="69" t="s">
        <v>67</v>
      </c>
      <c r="F144" s="75">
        <f>0+1+0+0+0</f>
        <v>1</v>
      </c>
      <c r="G144" s="76">
        <f t="shared" si="22"/>
        <v>0.0010416666666666667</v>
      </c>
      <c r="H144" s="78">
        <f t="shared" si="23"/>
        <v>-6.866933284461882</v>
      </c>
      <c r="I144" s="76">
        <f t="shared" si="24"/>
        <v>-0.007153055504647793</v>
      </c>
      <c r="J144" s="82">
        <f t="shared" si="25"/>
        <v>1.0850694444444444E-06</v>
      </c>
    </row>
    <row r="145" spans="1:10" ht="15">
      <c r="A145" s="73">
        <v>24</v>
      </c>
      <c r="B145" s="75" t="s">
        <v>7</v>
      </c>
      <c r="C145" s="69" t="s">
        <v>94</v>
      </c>
      <c r="D145" s="69" t="s">
        <v>57</v>
      </c>
      <c r="E145" s="69" t="s">
        <v>174</v>
      </c>
      <c r="F145" s="75">
        <f>0+3+4+0+0</f>
        <v>7</v>
      </c>
      <c r="G145" s="76">
        <f t="shared" si="22"/>
        <v>0.007291666666666667</v>
      </c>
      <c r="H145" s="78">
        <f t="shared" si="23"/>
        <v>-4.9210231354065685</v>
      </c>
      <c r="I145" s="76">
        <f t="shared" si="24"/>
        <v>-0.035882460362339566</v>
      </c>
      <c r="J145" s="82">
        <f t="shared" si="25"/>
        <v>5.316840277777778E-05</v>
      </c>
    </row>
    <row r="146" spans="1:10" ht="15">
      <c r="A146" s="73">
        <v>25</v>
      </c>
      <c r="B146" s="73" t="s">
        <v>28</v>
      </c>
      <c r="C146" s="69" t="s">
        <v>95</v>
      </c>
      <c r="D146" s="69" t="s">
        <v>25</v>
      </c>
      <c r="E146" s="69" t="s">
        <v>175</v>
      </c>
      <c r="F146" s="75">
        <f>1+4+5+0+0</f>
        <v>10</v>
      </c>
      <c r="G146" s="76">
        <f t="shared" si="22"/>
        <v>0.010416666666666666</v>
      </c>
      <c r="H146" s="78">
        <f t="shared" si="23"/>
        <v>-4.564348191467836</v>
      </c>
      <c r="I146" s="76">
        <f t="shared" si="24"/>
        <v>-0.04754529366112329</v>
      </c>
      <c r="J146" s="82">
        <f t="shared" si="25"/>
        <v>0.00010850694444444444</v>
      </c>
    </row>
    <row r="147" spans="1:10" ht="15">
      <c r="A147" s="73">
        <v>26</v>
      </c>
      <c r="B147" s="74" t="s">
        <v>28</v>
      </c>
      <c r="C147" s="69" t="s">
        <v>95</v>
      </c>
      <c r="D147" s="69" t="s">
        <v>25</v>
      </c>
      <c r="E147" s="69" t="s">
        <v>67</v>
      </c>
      <c r="F147" s="75">
        <f>1+0+0+2+0</f>
        <v>3</v>
      </c>
      <c r="G147" s="76">
        <f t="shared" si="22"/>
        <v>0.003125</v>
      </c>
      <c r="H147" s="78">
        <f t="shared" si="23"/>
        <v>-5.768320995793772</v>
      </c>
      <c r="I147" s="76">
        <f t="shared" si="24"/>
        <v>-0.018026003111855537</v>
      </c>
      <c r="J147" s="82">
        <f t="shared" si="25"/>
        <v>9.765625000000002E-06</v>
      </c>
    </row>
    <row r="148" spans="1:10" ht="15">
      <c r="A148" s="73">
        <v>27</v>
      </c>
      <c r="B148" s="73" t="s">
        <v>7</v>
      </c>
      <c r="C148" s="69" t="s">
        <v>93</v>
      </c>
      <c r="D148" s="69" t="s">
        <v>78</v>
      </c>
      <c r="E148" s="68" t="s">
        <v>67</v>
      </c>
      <c r="F148" s="75">
        <f>3+0+0+0+0</f>
        <v>3</v>
      </c>
      <c r="G148" s="76">
        <f t="shared" si="22"/>
        <v>0.003125</v>
      </c>
      <c r="H148" s="78">
        <f t="shared" si="23"/>
        <v>-5.768320995793772</v>
      </c>
      <c r="I148" s="76">
        <f t="shared" si="24"/>
        <v>-0.018026003111855537</v>
      </c>
      <c r="J148" s="82">
        <f t="shared" si="25"/>
        <v>9.765625000000002E-06</v>
      </c>
    </row>
    <row r="149" spans="1:10" ht="15">
      <c r="A149" s="73">
        <v>28</v>
      </c>
      <c r="B149" s="73" t="s">
        <v>7</v>
      </c>
      <c r="C149" s="69" t="s">
        <v>93</v>
      </c>
      <c r="D149" s="69" t="s">
        <v>11</v>
      </c>
      <c r="E149" s="69" t="s">
        <v>176</v>
      </c>
      <c r="F149" s="75">
        <f>7+0+12+9+3</f>
        <v>31</v>
      </c>
      <c r="G149" s="76">
        <f t="shared" si="22"/>
        <v>0.03229166666666667</v>
      </c>
      <c r="H149" s="78">
        <f t="shared" si="23"/>
        <v>-3.4329460799767357</v>
      </c>
      <c r="I149" s="76">
        <f t="shared" si="24"/>
        <v>-0.11085555049924876</v>
      </c>
      <c r="J149" s="82">
        <f t="shared" si="25"/>
        <v>0.0010427517361111113</v>
      </c>
    </row>
    <row r="150" spans="1:10" ht="15">
      <c r="A150" s="73">
        <v>29</v>
      </c>
      <c r="B150" s="73" t="s">
        <v>7</v>
      </c>
      <c r="C150" s="69" t="s">
        <v>93</v>
      </c>
      <c r="D150" s="69" t="s">
        <v>11</v>
      </c>
      <c r="E150" s="69" t="s">
        <v>67</v>
      </c>
      <c r="F150" s="75">
        <f>10+1+9+28+41</f>
        <v>89</v>
      </c>
      <c r="G150" s="76">
        <f>F150/960</f>
        <v>0.09270833333333334</v>
      </c>
      <c r="H150" s="78">
        <f>LN(G150)</f>
        <v>-2.378296914729742</v>
      </c>
      <c r="I150" s="76">
        <f>G150*H150</f>
        <v>-0.22048794313640316</v>
      </c>
      <c r="J150" s="82">
        <f>G150^2</f>
        <v>0.008594835069444445</v>
      </c>
    </row>
    <row r="151" spans="1:10" ht="15">
      <c r="A151" s="73">
        <v>30</v>
      </c>
      <c r="B151" s="75" t="s">
        <v>19</v>
      </c>
      <c r="C151" s="69" t="s">
        <v>164</v>
      </c>
      <c r="D151" s="69" t="s">
        <v>163</v>
      </c>
      <c r="E151" s="69" t="s">
        <v>67</v>
      </c>
      <c r="F151" s="75">
        <f>0+0+13+0+0</f>
        <v>13</v>
      </c>
      <c r="G151" s="76">
        <f>F151/960</f>
        <v>0.013541666666666667</v>
      </c>
      <c r="H151" s="78">
        <f>LN(G151)</f>
        <v>-4.301983927000345</v>
      </c>
      <c r="I151" s="76">
        <f>G151*H151</f>
        <v>-0.05825603234479634</v>
      </c>
      <c r="J151" s="82">
        <f>G151^2</f>
        <v>0.00018337673611111113</v>
      </c>
    </row>
    <row r="152" spans="1:10" ht="15">
      <c r="A152" s="143"/>
      <c r="B152" s="175" t="s">
        <v>82</v>
      </c>
      <c r="C152" s="175"/>
      <c r="D152" s="175"/>
      <c r="E152" s="175"/>
      <c r="F152" s="143">
        <f>SUM(F122:F151)</f>
        <v>960</v>
      </c>
      <c r="G152" s="77">
        <f t="shared" si="22"/>
        <v>1</v>
      </c>
      <c r="H152" s="79">
        <f>SUM(H122:H150)</f>
        <v>-127.84789568360182</v>
      </c>
      <c r="I152" s="79">
        <f>SUM(I122:I150)</f>
        <v>-2.5229736431854652</v>
      </c>
      <c r="J152" s="79">
        <f>SUM(J122:J150)</f>
        <v>0.10784830729166665</v>
      </c>
    </row>
    <row r="153" spans="1:10" ht="15">
      <c r="A153" s="176" t="s">
        <v>83</v>
      </c>
      <c r="B153" s="176"/>
      <c r="C153" s="176"/>
      <c r="D153" s="176"/>
      <c r="E153" s="176"/>
      <c r="F153" s="140"/>
      <c r="G153" s="140"/>
      <c r="H153" s="140"/>
      <c r="I153" s="80">
        <f>-(I152)</f>
        <v>2.5229736431854652</v>
      </c>
      <c r="J153" s="140"/>
    </row>
    <row r="154" spans="1:10" ht="15">
      <c r="A154" s="173" t="s">
        <v>84</v>
      </c>
      <c r="B154" s="173"/>
      <c r="C154" s="173"/>
      <c r="D154" s="173"/>
      <c r="E154" s="173"/>
      <c r="F154" s="141"/>
      <c r="G154" s="141"/>
      <c r="H154" s="141"/>
      <c r="I154" s="147">
        <f>I153/LN(30)</f>
        <v>0.7417898346001005</v>
      </c>
      <c r="J154" s="141"/>
    </row>
    <row r="155" spans="1:10" ht="15">
      <c r="A155" s="174" t="s">
        <v>85</v>
      </c>
      <c r="B155" s="174"/>
      <c r="C155" s="174"/>
      <c r="D155" s="174"/>
      <c r="E155" s="174"/>
      <c r="F155" s="142"/>
      <c r="G155" s="142"/>
      <c r="H155" s="142"/>
      <c r="I155" s="146">
        <v>0.11</v>
      </c>
      <c r="J155" s="142"/>
    </row>
  </sheetData>
  <mergeCells count="24">
    <mergeCell ref="A54:E54"/>
    <mergeCell ref="A55:E55"/>
    <mergeCell ref="A75:E75"/>
    <mergeCell ref="A96:E96"/>
    <mergeCell ref="A97:E97"/>
    <mergeCell ref="A23:E23"/>
    <mergeCell ref="A24:E24"/>
    <mergeCell ref="A25:E25"/>
    <mergeCell ref="A26:E26"/>
    <mergeCell ref="A53:E53"/>
    <mergeCell ref="A154:E154"/>
    <mergeCell ref="A155:E155"/>
    <mergeCell ref="A77:E77"/>
    <mergeCell ref="A78:E78"/>
    <mergeCell ref="A56:E56"/>
    <mergeCell ref="A116:E116"/>
    <mergeCell ref="A76:E76"/>
    <mergeCell ref="A98:E98"/>
    <mergeCell ref="A99:E99"/>
    <mergeCell ref="A115:E115"/>
    <mergeCell ref="A153:E153"/>
    <mergeCell ref="A117:E117"/>
    <mergeCell ref="A118:E118"/>
    <mergeCell ref="B152:E15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4"/>
  <sheetViews>
    <sheetView workbookViewId="0" topLeftCell="I5">
      <selection activeCell="P17" sqref="P17"/>
    </sheetView>
  </sheetViews>
  <sheetFormatPr defaultColWidth="9.140625" defaultRowHeight="15"/>
  <cols>
    <col min="2" max="2" width="12.00390625" style="0" customWidth="1"/>
    <col min="9" max="9" width="18.57421875" style="0" customWidth="1"/>
    <col min="17" max="17" width="15.7109375" style="0" customWidth="1"/>
  </cols>
  <sheetData>
    <row r="2" spans="3:23" ht="15">
      <c r="C2" t="s">
        <v>106</v>
      </c>
      <c r="D2" t="s">
        <v>107</v>
      </c>
      <c r="E2" t="s">
        <v>109</v>
      </c>
      <c r="F2" t="s">
        <v>110</v>
      </c>
      <c r="G2" t="s">
        <v>111</v>
      </c>
      <c r="H2" t="s">
        <v>145</v>
      </c>
      <c r="R2" t="s">
        <v>106</v>
      </c>
      <c r="S2" t="s">
        <v>107</v>
      </c>
      <c r="T2" t="s">
        <v>109</v>
      </c>
      <c r="U2" t="s">
        <v>110</v>
      </c>
      <c r="V2" t="s">
        <v>111</v>
      </c>
      <c r="W2" t="s">
        <v>147</v>
      </c>
    </row>
    <row r="3" spans="2:23" ht="15">
      <c r="B3" s="68" t="s">
        <v>101</v>
      </c>
      <c r="C3" s="88">
        <f>1/960</f>
        <v>0.0010416666666666667</v>
      </c>
      <c r="D3" s="88">
        <f>1/960</f>
        <v>0.0010416666666666667</v>
      </c>
      <c r="E3" s="88">
        <f>3/960</f>
        <v>0.003125</v>
      </c>
      <c r="F3" s="88">
        <f>2/960</f>
        <v>0.0020833333333333333</v>
      </c>
      <c r="G3" s="88">
        <f>1/960</f>
        <v>0.0010416666666666667</v>
      </c>
      <c r="H3" s="88">
        <f>SUM(C3:G3)</f>
        <v>0.008333333333333333</v>
      </c>
      <c r="I3" s="69"/>
      <c r="J3" t="s">
        <v>106</v>
      </c>
      <c r="K3" t="s">
        <v>107</v>
      </c>
      <c r="L3" t="s">
        <v>109</v>
      </c>
      <c r="M3" t="s">
        <v>110</v>
      </c>
      <c r="N3" t="s">
        <v>111</v>
      </c>
      <c r="O3" t="s">
        <v>147</v>
      </c>
      <c r="Q3" s="151" t="s">
        <v>18</v>
      </c>
      <c r="R3" s="88">
        <v>0.05416666666666667</v>
      </c>
      <c r="S3" s="88">
        <v>0.10104166666666667</v>
      </c>
      <c r="T3" s="88">
        <v>0.019791666666666666</v>
      </c>
      <c r="U3" s="88">
        <v>0.013541666666666667</v>
      </c>
      <c r="V3" s="88">
        <v>0.03333333333333333</v>
      </c>
      <c r="W3" s="88">
        <v>0.221875</v>
      </c>
    </row>
    <row r="4" spans="2:23" ht="15">
      <c r="B4" s="68" t="s">
        <v>112</v>
      </c>
      <c r="C4" s="88">
        <f>1/960</f>
        <v>0.0010416666666666667</v>
      </c>
      <c r="D4" s="88">
        <v>0</v>
      </c>
      <c r="E4" s="88">
        <v>0</v>
      </c>
      <c r="F4" s="88">
        <v>0</v>
      </c>
      <c r="G4" s="88">
        <v>0</v>
      </c>
      <c r="H4" s="88">
        <f aca="true" t="shared" si="0" ref="H4:H33">SUM(C4:G4)</f>
        <v>0.0010416666666666667</v>
      </c>
      <c r="I4" s="151" t="s">
        <v>30</v>
      </c>
      <c r="J4" s="88">
        <f>8/960</f>
        <v>0.008333333333333333</v>
      </c>
      <c r="K4" s="88">
        <f>59/960</f>
        <v>0.06145833333333333</v>
      </c>
      <c r="L4" s="88">
        <f>7/960</f>
        <v>0.007291666666666667</v>
      </c>
      <c r="M4" s="88">
        <f>15/960</f>
        <v>0.015625</v>
      </c>
      <c r="N4" s="88">
        <f>2/960</f>
        <v>0.0020833333333333333</v>
      </c>
      <c r="O4" s="88">
        <f>SUM(J4:N4)</f>
        <v>0.09479166666666668</v>
      </c>
      <c r="Q4" s="152" t="s">
        <v>183</v>
      </c>
      <c r="R4" s="88">
        <v>0.035416666666666666</v>
      </c>
      <c r="S4" s="88">
        <v>0.013541666666666667</v>
      </c>
      <c r="T4" s="88">
        <v>0.011458333333333333</v>
      </c>
      <c r="U4" s="88">
        <v>0.017708333333333333</v>
      </c>
      <c r="V4" s="88">
        <v>0.0375</v>
      </c>
      <c r="W4" s="88">
        <v>0.115625</v>
      </c>
    </row>
    <row r="5" spans="2:23" ht="15">
      <c r="B5" s="69" t="s">
        <v>64</v>
      </c>
      <c r="C5" s="88">
        <f>6/960</f>
        <v>0.00625</v>
      </c>
      <c r="D5" s="88">
        <f>3/960</f>
        <v>0.003125</v>
      </c>
      <c r="E5" s="88">
        <f>7/960</f>
        <v>0.007291666666666667</v>
      </c>
      <c r="F5" s="88">
        <v>0</v>
      </c>
      <c r="G5" s="88">
        <v>0</v>
      </c>
      <c r="H5" s="88">
        <f t="shared" si="0"/>
        <v>0.01666666666666667</v>
      </c>
      <c r="I5" s="151" t="s">
        <v>37</v>
      </c>
      <c r="J5" s="88">
        <f>10/960</f>
        <v>0.010416666666666666</v>
      </c>
      <c r="K5" s="88">
        <f>36/960</f>
        <v>0.0375</v>
      </c>
      <c r="L5" s="88">
        <f>29/960</f>
        <v>0.030208333333333334</v>
      </c>
      <c r="M5" s="88">
        <f>16/960</f>
        <v>0.016666666666666666</v>
      </c>
      <c r="N5" s="88">
        <f>2/960</f>
        <v>0.0020833333333333333</v>
      </c>
      <c r="O5" s="88">
        <f>SUM(J5:N5)</f>
        <v>0.096875</v>
      </c>
      <c r="Q5" s="151" t="s">
        <v>184</v>
      </c>
      <c r="R5" s="88">
        <v>0.027083333333333334</v>
      </c>
      <c r="S5" s="88">
        <v>0.035416666666666666</v>
      </c>
      <c r="T5" s="88">
        <v>0.016666666666666666</v>
      </c>
      <c r="U5" s="88">
        <v>0.010416666666666666</v>
      </c>
      <c r="V5" s="88">
        <v>0.016666666666666666</v>
      </c>
      <c r="W5" s="88">
        <v>0.10625</v>
      </c>
    </row>
    <row r="6" spans="2:23" ht="15">
      <c r="B6" s="69" t="s">
        <v>102</v>
      </c>
      <c r="C6" s="88">
        <v>0</v>
      </c>
      <c r="D6" s="88">
        <f>3/960</f>
        <v>0.003125</v>
      </c>
      <c r="E6" s="88">
        <f>10/960</f>
        <v>0.010416666666666666</v>
      </c>
      <c r="F6" s="88">
        <v>0</v>
      </c>
      <c r="G6" s="88">
        <v>0</v>
      </c>
      <c r="H6" s="88">
        <f t="shared" si="0"/>
        <v>0.013541666666666667</v>
      </c>
      <c r="I6" s="151" t="s">
        <v>13</v>
      </c>
      <c r="J6" s="88">
        <f>26/960</f>
        <v>0.027083333333333334</v>
      </c>
      <c r="K6" s="88">
        <f>34/960</f>
        <v>0.035416666666666666</v>
      </c>
      <c r="L6" s="88">
        <f>16/960</f>
        <v>0.016666666666666666</v>
      </c>
      <c r="M6" s="88">
        <f>10/960</f>
        <v>0.010416666666666666</v>
      </c>
      <c r="N6" s="88">
        <f>16/960</f>
        <v>0.016666666666666666</v>
      </c>
      <c r="O6" s="88">
        <f>SUM(J6:N6)</f>
        <v>0.10625</v>
      </c>
      <c r="Q6" s="151" t="s">
        <v>185</v>
      </c>
      <c r="R6" s="88">
        <v>0.010416666666666666</v>
      </c>
      <c r="S6" s="88">
        <v>0.0375</v>
      </c>
      <c r="T6" s="88">
        <v>0.030208333333333334</v>
      </c>
      <c r="U6" s="88">
        <v>0.016666666666666666</v>
      </c>
      <c r="V6" s="88">
        <v>0.0020833333333333333</v>
      </c>
      <c r="W6" s="88">
        <v>0.096875</v>
      </c>
    </row>
    <row r="7" spans="2:23" ht="15">
      <c r="B7" s="68" t="s">
        <v>113</v>
      </c>
      <c r="C7" s="88">
        <f>4/960</f>
        <v>0.004166666666666667</v>
      </c>
      <c r="D7" s="88">
        <v>0</v>
      </c>
      <c r="E7" s="88">
        <f>13/960</f>
        <v>0.013541666666666667</v>
      </c>
      <c r="F7" s="88">
        <v>0</v>
      </c>
      <c r="G7" s="88">
        <v>0</v>
      </c>
      <c r="H7" s="88">
        <f t="shared" si="0"/>
        <v>0.017708333333333333</v>
      </c>
      <c r="I7" s="152" t="s">
        <v>178</v>
      </c>
      <c r="J7" s="88">
        <f>34/960</f>
        <v>0.035416666666666666</v>
      </c>
      <c r="K7" s="88">
        <f>13/960</f>
        <v>0.013541666666666667</v>
      </c>
      <c r="L7" s="88">
        <f>11/960</f>
        <v>0.011458333333333333</v>
      </c>
      <c r="M7" s="88">
        <f>17/960</f>
        <v>0.017708333333333333</v>
      </c>
      <c r="N7" s="88">
        <f>36/960</f>
        <v>0.0375</v>
      </c>
      <c r="O7" s="88">
        <f>SUM(J7:N7)</f>
        <v>0.115625</v>
      </c>
      <c r="Q7" s="151" t="s">
        <v>186</v>
      </c>
      <c r="R7" s="88">
        <v>0.008333333333333333</v>
      </c>
      <c r="S7" s="88">
        <v>0.06145833333333333</v>
      </c>
      <c r="T7" s="88">
        <v>0.007291666666666667</v>
      </c>
      <c r="U7" s="88">
        <v>0.015625</v>
      </c>
      <c r="V7" s="88">
        <v>0.0020833333333333333</v>
      </c>
      <c r="W7" s="88">
        <v>0.09479166666666668</v>
      </c>
    </row>
    <row r="8" spans="2:23" ht="15">
      <c r="B8" s="69" t="s">
        <v>114</v>
      </c>
      <c r="C8" s="88">
        <v>0</v>
      </c>
      <c r="D8" s="88">
        <v>0</v>
      </c>
      <c r="E8" s="88">
        <f>13/960</f>
        <v>0.013541666666666667</v>
      </c>
      <c r="F8" s="88">
        <v>0</v>
      </c>
      <c r="G8" s="88">
        <v>0</v>
      </c>
      <c r="H8" s="88">
        <f t="shared" si="0"/>
        <v>0.013541666666666667</v>
      </c>
      <c r="I8" s="151" t="s">
        <v>18</v>
      </c>
      <c r="J8" s="88">
        <f>52/960</f>
        <v>0.05416666666666667</v>
      </c>
      <c r="K8" s="88">
        <f>97/960</f>
        <v>0.10104166666666667</v>
      </c>
      <c r="L8" s="88">
        <f>19/960</f>
        <v>0.019791666666666666</v>
      </c>
      <c r="M8" s="88">
        <f>13/960</f>
        <v>0.013541666666666667</v>
      </c>
      <c r="N8" s="88">
        <f>32/960</f>
        <v>0.03333333333333333</v>
      </c>
      <c r="O8" s="88">
        <f>SUM(J8:N8)</f>
        <v>0.221875</v>
      </c>
      <c r="Q8" s="68" t="s">
        <v>157</v>
      </c>
      <c r="R8" s="89">
        <v>0.12708333333333333</v>
      </c>
      <c r="S8" s="89">
        <v>0.12083333333333335</v>
      </c>
      <c r="T8" s="89">
        <v>0.15208333333333332</v>
      </c>
      <c r="U8" s="89">
        <v>0.037500000000000006</v>
      </c>
      <c r="V8" s="89">
        <v>0.05104166666666666</v>
      </c>
      <c r="W8" s="89">
        <v>0.4885416666666667</v>
      </c>
    </row>
    <row r="9" spans="2:15" ht="15">
      <c r="B9" s="68" t="s">
        <v>103</v>
      </c>
      <c r="C9" s="88">
        <f>7/960</f>
        <v>0.007291666666666667</v>
      </c>
      <c r="D9" s="88">
        <f>1/960</f>
        <v>0.0010416666666666667</v>
      </c>
      <c r="E9" s="88">
        <f>21/960</f>
        <v>0.021875</v>
      </c>
      <c r="F9" s="88">
        <f>4/960</f>
        <v>0.004166666666666667</v>
      </c>
      <c r="G9" s="88">
        <f>12/960</f>
        <v>0.0125</v>
      </c>
      <c r="H9" s="88">
        <f t="shared" si="0"/>
        <v>0.046875</v>
      </c>
      <c r="I9" s="68" t="s">
        <v>157</v>
      </c>
      <c r="J9" s="89">
        <f aca="true" t="shared" si="1" ref="J9:O9">SUM(C3:C10,C12,C16,C16:C23,C25:C33,C33)</f>
        <v>0.12708333333333333</v>
      </c>
      <c r="K9" s="89">
        <f t="shared" si="1"/>
        <v>0.12083333333333335</v>
      </c>
      <c r="L9" s="89">
        <f t="shared" si="1"/>
        <v>0.15208333333333332</v>
      </c>
      <c r="M9" s="89">
        <f t="shared" si="1"/>
        <v>0.037500000000000006</v>
      </c>
      <c r="N9" s="89">
        <f t="shared" si="1"/>
        <v>0.05104166666666666</v>
      </c>
      <c r="O9" s="89">
        <f t="shared" si="1"/>
        <v>0.4885416666666667</v>
      </c>
    </row>
    <row r="10" spans="2:15" ht="15">
      <c r="B10" s="68" t="s">
        <v>104</v>
      </c>
      <c r="C10" s="88">
        <v>0</v>
      </c>
      <c r="D10" s="88">
        <f>5/960</f>
        <v>0.005208333333333333</v>
      </c>
      <c r="E10" s="88">
        <v>0</v>
      </c>
      <c r="F10" s="88">
        <v>0</v>
      </c>
      <c r="G10" s="88">
        <v>0</v>
      </c>
      <c r="H10" s="88">
        <f t="shared" si="0"/>
        <v>0.005208333333333333</v>
      </c>
      <c r="I10" s="69"/>
      <c r="J10" s="88"/>
      <c r="K10" s="88"/>
      <c r="L10" s="88"/>
      <c r="M10" s="88"/>
      <c r="N10" s="88"/>
      <c r="O10" s="88"/>
    </row>
    <row r="11" spans="2:15" ht="15">
      <c r="B11" s="69" t="s">
        <v>37</v>
      </c>
      <c r="C11" s="88">
        <f>10/960</f>
        <v>0.010416666666666666</v>
      </c>
      <c r="D11" s="88">
        <f>36/960</f>
        <v>0.0375</v>
      </c>
      <c r="E11" s="88">
        <f>29/960</f>
        <v>0.030208333333333334</v>
      </c>
      <c r="F11" s="88">
        <f>16/960</f>
        <v>0.016666666666666666</v>
      </c>
      <c r="G11" s="88">
        <f>2/960</f>
        <v>0.0020833333333333333</v>
      </c>
      <c r="H11" s="88">
        <f t="shared" si="0"/>
        <v>0.096875</v>
      </c>
      <c r="I11" s="69"/>
      <c r="J11" s="88"/>
      <c r="K11" s="88"/>
      <c r="L11" s="88"/>
      <c r="M11" s="88"/>
      <c r="N11" s="88"/>
      <c r="O11" s="88"/>
    </row>
    <row r="12" spans="2:8" ht="15">
      <c r="B12" s="69" t="s">
        <v>34</v>
      </c>
      <c r="C12" s="88">
        <f>1/960</f>
        <v>0.0010416666666666667</v>
      </c>
      <c r="D12" s="88">
        <f>2/960</f>
        <v>0.0020833333333333333</v>
      </c>
      <c r="E12" s="88">
        <v>0</v>
      </c>
      <c r="F12" s="88">
        <v>0</v>
      </c>
      <c r="G12" s="88">
        <v>0</v>
      </c>
      <c r="H12" s="88">
        <f t="shared" si="0"/>
        <v>0.003125</v>
      </c>
    </row>
    <row r="13" spans="2:8" ht="15">
      <c r="B13" s="69" t="s">
        <v>18</v>
      </c>
      <c r="C13" s="88">
        <f>52/960</f>
        <v>0.05416666666666667</v>
      </c>
      <c r="D13" s="88">
        <f>97/960</f>
        <v>0.10104166666666667</v>
      </c>
      <c r="E13" s="88">
        <f>19/960</f>
        <v>0.019791666666666666</v>
      </c>
      <c r="F13" s="88">
        <f>13/960</f>
        <v>0.013541666666666667</v>
      </c>
      <c r="G13" s="88">
        <f>32/960</f>
        <v>0.03333333333333333</v>
      </c>
      <c r="H13" s="88">
        <f t="shared" si="0"/>
        <v>0.221875</v>
      </c>
    </row>
    <row r="14" spans="2:8" ht="15">
      <c r="B14" s="69" t="s">
        <v>30</v>
      </c>
      <c r="C14" s="88">
        <f>8/960</f>
        <v>0.008333333333333333</v>
      </c>
      <c r="D14" s="88">
        <f>59/960</f>
        <v>0.06145833333333333</v>
      </c>
      <c r="E14" s="88">
        <f>7/960</f>
        <v>0.007291666666666667</v>
      </c>
      <c r="F14" s="88">
        <f>15/960</f>
        <v>0.015625</v>
      </c>
      <c r="G14" s="88">
        <f>2/960</f>
        <v>0.0020833333333333333</v>
      </c>
      <c r="H14" s="88">
        <f t="shared" si="0"/>
        <v>0.09479166666666668</v>
      </c>
    </row>
    <row r="15" spans="2:8" ht="15">
      <c r="B15" s="68" t="s">
        <v>68</v>
      </c>
      <c r="C15" s="88">
        <f>34/960</f>
        <v>0.035416666666666666</v>
      </c>
      <c r="D15" s="88">
        <f>13/960</f>
        <v>0.013541666666666667</v>
      </c>
      <c r="E15" s="88">
        <f>11/960</f>
        <v>0.011458333333333333</v>
      </c>
      <c r="F15" s="88">
        <f>17/960</f>
        <v>0.017708333333333333</v>
      </c>
      <c r="G15" s="88">
        <f>36/960</f>
        <v>0.0375</v>
      </c>
      <c r="H15" s="88">
        <f t="shared" si="0"/>
        <v>0.115625</v>
      </c>
    </row>
    <row r="16" spans="2:8" ht="15">
      <c r="B16" s="68" t="s">
        <v>115</v>
      </c>
      <c r="C16" s="88">
        <f>1/960</f>
        <v>0.0010416666666666667</v>
      </c>
      <c r="D16" s="88">
        <f>2/960</f>
        <v>0.0020833333333333333</v>
      </c>
      <c r="E16" s="88">
        <f>19/960</f>
        <v>0.019791666666666666</v>
      </c>
      <c r="F16" s="88">
        <f>4/960</f>
        <v>0.004166666666666667</v>
      </c>
      <c r="G16" s="88">
        <f>4/960</f>
        <v>0.004166666666666667</v>
      </c>
      <c r="H16" s="88">
        <f t="shared" si="0"/>
        <v>0.031249999999999997</v>
      </c>
    </row>
    <row r="17" spans="2:8" ht="15">
      <c r="B17" s="68" t="s">
        <v>116</v>
      </c>
      <c r="C17" s="88">
        <v>0</v>
      </c>
      <c r="D17" s="88">
        <f>5/960</f>
        <v>0.005208333333333333</v>
      </c>
      <c r="E17" s="88">
        <v>0</v>
      </c>
      <c r="F17" s="88">
        <v>0</v>
      </c>
      <c r="G17" s="88">
        <v>0</v>
      </c>
      <c r="H17" s="88">
        <f t="shared" si="0"/>
        <v>0.005208333333333333</v>
      </c>
    </row>
    <row r="18" spans="2:8" ht="15">
      <c r="B18" s="68" t="s">
        <v>117</v>
      </c>
      <c r="C18" s="88">
        <v>0</v>
      </c>
      <c r="D18" s="88">
        <f>1/960</f>
        <v>0.0010416666666666667</v>
      </c>
      <c r="E18" s="88">
        <v>0</v>
      </c>
      <c r="F18" s="88">
        <f>4/960</f>
        <v>0.004166666666666667</v>
      </c>
      <c r="G18" s="88">
        <v>0</v>
      </c>
      <c r="H18" s="88">
        <f t="shared" si="0"/>
        <v>0.005208333333333333</v>
      </c>
    </row>
    <row r="19" spans="2:8" ht="15">
      <c r="B19" s="68" t="s">
        <v>118</v>
      </c>
      <c r="C19" s="88">
        <v>0</v>
      </c>
      <c r="D19" s="88">
        <f>2/960</f>
        <v>0.0020833333333333333</v>
      </c>
      <c r="E19" s="88">
        <v>0</v>
      </c>
      <c r="F19" s="88">
        <f>1/960</f>
        <v>0.0010416666666666667</v>
      </c>
      <c r="G19" s="88">
        <f>4/960</f>
        <v>0.004166666666666667</v>
      </c>
      <c r="H19" s="88">
        <f t="shared" si="0"/>
        <v>0.007291666666666667</v>
      </c>
    </row>
    <row r="20" spans="2:8" ht="15">
      <c r="B20" s="68" t="s">
        <v>119</v>
      </c>
      <c r="C20" s="88">
        <v>0</v>
      </c>
      <c r="D20" s="88">
        <f>4/960</f>
        <v>0.004166666666666667</v>
      </c>
      <c r="E20" s="88">
        <v>0</v>
      </c>
      <c r="F20" s="88">
        <v>0</v>
      </c>
      <c r="G20" s="88">
        <f>1/960</f>
        <v>0.0010416666666666667</v>
      </c>
      <c r="H20" s="88">
        <f t="shared" si="0"/>
        <v>0.005208333333333333</v>
      </c>
    </row>
    <row r="21" spans="2:8" ht="15">
      <c r="B21" s="68" t="s">
        <v>120</v>
      </c>
      <c r="C21" s="88">
        <v>0</v>
      </c>
      <c r="D21" s="88">
        <f>1/960</f>
        <v>0.0010416666666666667</v>
      </c>
      <c r="E21" s="88">
        <v>0</v>
      </c>
      <c r="F21" s="88">
        <f>4/960</f>
        <v>0.004166666666666667</v>
      </c>
      <c r="G21" s="88">
        <v>0</v>
      </c>
      <c r="H21" s="88">
        <f t="shared" si="0"/>
        <v>0.005208333333333333</v>
      </c>
    </row>
    <row r="22" spans="2:8" ht="15">
      <c r="B22" s="68" t="s">
        <v>121</v>
      </c>
      <c r="C22" s="88">
        <v>0</v>
      </c>
      <c r="D22" s="88">
        <f>13/960</f>
        <v>0.013541666666666667</v>
      </c>
      <c r="E22" s="88">
        <v>0</v>
      </c>
      <c r="F22" s="88">
        <v>0</v>
      </c>
      <c r="G22" s="88">
        <v>0</v>
      </c>
      <c r="H22" s="88">
        <f t="shared" si="0"/>
        <v>0.013541666666666667</v>
      </c>
    </row>
    <row r="23" spans="2:8" ht="15">
      <c r="B23" s="69" t="s">
        <v>55</v>
      </c>
      <c r="C23" s="88">
        <v>0</v>
      </c>
      <c r="D23" s="88">
        <f>3/960</f>
        <v>0.003125</v>
      </c>
      <c r="E23" s="88">
        <f>2/960</f>
        <v>0.0020833333333333333</v>
      </c>
      <c r="F23" s="88">
        <v>0</v>
      </c>
      <c r="G23" s="88">
        <v>0</v>
      </c>
      <c r="H23" s="88">
        <f t="shared" si="0"/>
        <v>0.005208333333333334</v>
      </c>
    </row>
    <row r="24" spans="2:8" ht="15">
      <c r="B24" s="69" t="s">
        <v>13</v>
      </c>
      <c r="C24" s="88">
        <f>26/960</f>
        <v>0.027083333333333334</v>
      </c>
      <c r="D24" s="88">
        <f>34/960</f>
        <v>0.035416666666666666</v>
      </c>
      <c r="E24" s="88">
        <f>16/960</f>
        <v>0.016666666666666666</v>
      </c>
      <c r="F24" s="88">
        <f>10/960</f>
        <v>0.010416666666666666</v>
      </c>
      <c r="G24" s="88">
        <f>16/960</f>
        <v>0.016666666666666666</v>
      </c>
      <c r="H24" s="88">
        <f t="shared" si="0"/>
        <v>0.10625</v>
      </c>
    </row>
    <row r="25" spans="2:8" ht="15">
      <c r="B25" s="68" t="s">
        <v>122</v>
      </c>
      <c r="C25" s="88">
        <f>4/960</f>
        <v>0.004166666666666667</v>
      </c>
      <c r="D25" s="88">
        <f>4/960</f>
        <v>0.004166666666666667</v>
      </c>
      <c r="E25" s="88">
        <v>0</v>
      </c>
      <c r="F25" s="88">
        <v>0</v>
      </c>
      <c r="G25" s="88">
        <v>0</v>
      </c>
      <c r="H25" s="88">
        <f t="shared" si="0"/>
        <v>0.008333333333333333</v>
      </c>
    </row>
    <row r="26" spans="2:8" ht="15">
      <c r="B26" s="70" t="s">
        <v>97</v>
      </c>
      <c r="C26" s="88">
        <f>2/960</f>
        <v>0.0020833333333333333</v>
      </c>
      <c r="D26" s="88">
        <v>0</v>
      </c>
      <c r="E26" s="88">
        <v>0</v>
      </c>
      <c r="F26" s="88">
        <v>0</v>
      </c>
      <c r="G26" s="88">
        <v>0</v>
      </c>
      <c r="H26" s="88">
        <f t="shared" si="0"/>
        <v>0.0020833333333333333</v>
      </c>
    </row>
    <row r="27" spans="2:8" ht="15">
      <c r="B27" s="69" t="s">
        <v>123</v>
      </c>
      <c r="C27" s="88">
        <v>0</v>
      </c>
      <c r="D27" s="88">
        <f>1/960</f>
        <v>0.0010416666666666667</v>
      </c>
      <c r="E27" s="88">
        <v>0</v>
      </c>
      <c r="F27" s="88">
        <v>0</v>
      </c>
      <c r="G27" s="88">
        <v>0</v>
      </c>
      <c r="H27" s="88">
        <f t="shared" si="0"/>
        <v>0.0010416666666666667</v>
      </c>
    </row>
    <row r="28" spans="2:8" ht="15">
      <c r="B28" s="69" t="s">
        <v>58</v>
      </c>
      <c r="C28" s="88">
        <v>0</v>
      </c>
      <c r="D28" s="88">
        <f>3/960</f>
        <v>0.003125</v>
      </c>
      <c r="E28" s="88">
        <f>4/960</f>
        <v>0.004166666666666667</v>
      </c>
      <c r="F28" s="88">
        <v>0</v>
      </c>
      <c r="G28" s="88">
        <v>0</v>
      </c>
      <c r="H28" s="88">
        <f t="shared" si="0"/>
        <v>0.007291666666666667</v>
      </c>
    </row>
    <row r="29" spans="2:8" ht="15">
      <c r="B29" s="69" t="s">
        <v>69</v>
      </c>
      <c r="C29" s="88">
        <f>1/960</f>
        <v>0.0010416666666666667</v>
      </c>
      <c r="D29" s="88">
        <f>4/960</f>
        <v>0.004166666666666667</v>
      </c>
      <c r="E29" s="88">
        <f>5/960</f>
        <v>0.005208333333333333</v>
      </c>
      <c r="F29" s="88">
        <v>0</v>
      </c>
      <c r="G29" s="88">
        <v>0</v>
      </c>
      <c r="H29" s="88">
        <f t="shared" si="0"/>
        <v>0.010416666666666666</v>
      </c>
    </row>
    <row r="30" spans="2:8" ht="15">
      <c r="B30" s="69" t="s">
        <v>124</v>
      </c>
      <c r="C30" s="88">
        <f>1/960</f>
        <v>0.0010416666666666667</v>
      </c>
      <c r="D30" s="88">
        <v>0</v>
      </c>
      <c r="E30" s="88">
        <v>0</v>
      </c>
      <c r="F30" s="88">
        <f>2/960</f>
        <v>0.0020833333333333333</v>
      </c>
      <c r="G30" s="88">
        <v>0</v>
      </c>
      <c r="H30" s="88">
        <f t="shared" si="0"/>
        <v>0.003125</v>
      </c>
    </row>
    <row r="31" spans="2:8" ht="15">
      <c r="B31" s="68" t="s">
        <v>125</v>
      </c>
      <c r="C31" s="88">
        <f>3/960</f>
        <v>0.003125</v>
      </c>
      <c r="D31" s="88">
        <v>0</v>
      </c>
      <c r="E31" s="88">
        <v>0</v>
      </c>
      <c r="F31" s="88">
        <v>0</v>
      </c>
      <c r="G31" s="88">
        <v>0</v>
      </c>
      <c r="H31" s="88">
        <f t="shared" si="0"/>
        <v>0.003125</v>
      </c>
    </row>
    <row r="32" spans="2:8" ht="15">
      <c r="B32" s="69" t="s">
        <v>60</v>
      </c>
      <c r="C32" s="88">
        <f>7/960</f>
        <v>0.007291666666666667</v>
      </c>
      <c r="D32" s="88">
        <v>0</v>
      </c>
      <c r="E32" s="88">
        <f>12/960</f>
        <v>0.0125</v>
      </c>
      <c r="F32" s="88">
        <f>9/960</f>
        <v>0.009375</v>
      </c>
      <c r="G32" s="88">
        <f>3/960</f>
        <v>0.003125</v>
      </c>
      <c r="H32" s="88">
        <f t="shared" si="0"/>
        <v>0.03229166666666667</v>
      </c>
    </row>
    <row r="33" spans="2:8" ht="15">
      <c r="B33" s="69" t="s">
        <v>126</v>
      </c>
      <c r="C33" s="88">
        <f>41/960</f>
        <v>0.042708333333333334</v>
      </c>
      <c r="D33" s="88">
        <f>28/960</f>
        <v>0.029166666666666667</v>
      </c>
      <c r="E33" s="88">
        <f>9/960</f>
        <v>0.009375</v>
      </c>
      <c r="F33" s="88">
        <f>1/960</f>
        <v>0.0010416666666666667</v>
      </c>
      <c r="G33" s="88">
        <f>10/960</f>
        <v>0.010416666666666666</v>
      </c>
      <c r="H33" s="88">
        <f t="shared" si="0"/>
        <v>0.09270833333333332</v>
      </c>
    </row>
    <row r="34" ht="15">
      <c r="H34" s="88">
        <f>SUM(H3:H33)</f>
        <v>1.0000000000000002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9"/>
  <sheetViews>
    <sheetView zoomScale="60" zoomScaleNormal="60" workbookViewId="0" topLeftCell="A1">
      <pane ySplit="1560" topLeftCell="A163" activePane="bottomLeft" state="split"/>
      <selection pane="bottomLeft" activeCell="G161" sqref="G161:P189"/>
    </sheetView>
  </sheetViews>
  <sheetFormatPr defaultColWidth="9.140625" defaultRowHeight="15"/>
  <cols>
    <col min="1" max="1" width="8.140625" style="0" customWidth="1"/>
    <col min="2" max="2" width="16.7109375" style="0" customWidth="1"/>
    <col min="3" max="3" width="20.421875" style="0" customWidth="1"/>
    <col min="4" max="4" width="24.421875" style="0" customWidth="1"/>
    <col min="5" max="5" width="13.57421875" style="0" customWidth="1"/>
    <col min="9" max="9" width="9.8515625" style="0" customWidth="1"/>
    <col min="10" max="10" width="9.28125" style="0" customWidth="1"/>
    <col min="11" max="11" width="14.57421875" style="0" customWidth="1"/>
    <col min="12" max="12" width="11.57421875" style="0" customWidth="1"/>
    <col min="13" max="13" width="12.140625" style="0" customWidth="1"/>
    <col min="16" max="16" width="11.8515625" style="0" customWidth="1"/>
  </cols>
  <sheetData>
    <row r="1" spans="1:9" ht="15.75">
      <c r="A1" s="169" t="s">
        <v>54</v>
      </c>
      <c r="B1" s="169"/>
      <c r="C1" s="169"/>
      <c r="D1" s="8" t="s">
        <v>61</v>
      </c>
      <c r="E1" s="7" t="s">
        <v>41</v>
      </c>
      <c r="F1" s="7" t="s">
        <v>70</v>
      </c>
      <c r="H1" s="13" t="s">
        <v>72</v>
      </c>
      <c r="I1" s="13"/>
    </row>
    <row r="2" spans="1:9" ht="15.75">
      <c r="A2" s="169" t="s">
        <v>1</v>
      </c>
      <c r="B2" s="169"/>
      <c r="C2" s="8">
        <v>16.45</v>
      </c>
      <c r="D2" s="8"/>
      <c r="E2" s="7" t="s">
        <v>42</v>
      </c>
      <c r="F2" s="7" t="s">
        <v>71</v>
      </c>
      <c r="H2" s="13" t="s">
        <v>74</v>
      </c>
      <c r="I2" s="13"/>
    </row>
    <row r="3" spans="1:6" ht="15.75">
      <c r="A3" s="169" t="s">
        <v>45</v>
      </c>
      <c r="B3" s="169"/>
      <c r="C3" s="8">
        <v>2</v>
      </c>
      <c r="D3" s="8"/>
      <c r="E3" s="10"/>
      <c r="F3" s="10"/>
    </row>
    <row r="5" spans="1:39" s="115" customFormat="1" ht="51.75">
      <c r="A5" s="114" t="s">
        <v>2</v>
      </c>
      <c r="B5" s="114" t="s">
        <v>6</v>
      </c>
      <c r="C5" s="114" t="s">
        <v>3</v>
      </c>
      <c r="D5" s="114" t="s">
        <v>4</v>
      </c>
      <c r="E5" s="114" t="s">
        <v>5</v>
      </c>
      <c r="H5" s="116" t="s">
        <v>130</v>
      </c>
      <c r="I5" s="117" t="s">
        <v>101</v>
      </c>
      <c r="J5" s="117" t="s">
        <v>112</v>
      </c>
      <c r="K5" s="118" t="s">
        <v>64</v>
      </c>
      <c r="L5" s="118" t="s">
        <v>102</v>
      </c>
      <c r="M5" s="117" t="s">
        <v>113</v>
      </c>
      <c r="N5" s="118" t="s">
        <v>114</v>
      </c>
      <c r="O5" s="117" t="s">
        <v>103</v>
      </c>
      <c r="P5" s="117" t="s">
        <v>104</v>
      </c>
      <c r="Q5" s="118" t="s">
        <v>37</v>
      </c>
      <c r="R5" s="118" t="s">
        <v>34</v>
      </c>
      <c r="S5" s="118" t="s">
        <v>18</v>
      </c>
      <c r="T5" s="118" t="s">
        <v>30</v>
      </c>
      <c r="U5" s="117" t="s">
        <v>68</v>
      </c>
      <c r="V5" s="117" t="s">
        <v>115</v>
      </c>
      <c r="W5" s="117" t="s">
        <v>116</v>
      </c>
      <c r="X5" s="117" t="s">
        <v>117</v>
      </c>
      <c r="Y5" s="117" t="s">
        <v>118</v>
      </c>
      <c r="Z5" s="117" t="s">
        <v>119</v>
      </c>
      <c r="AA5" s="117" t="s">
        <v>120</v>
      </c>
      <c r="AB5" s="117" t="s">
        <v>121</v>
      </c>
      <c r="AC5" s="118" t="s">
        <v>55</v>
      </c>
      <c r="AD5" s="118" t="s">
        <v>13</v>
      </c>
      <c r="AE5" s="117" t="s">
        <v>122</v>
      </c>
      <c r="AF5" s="119" t="s">
        <v>97</v>
      </c>
      <c r="AG5" s="118" t="s">
        <v>123</v>
      </c>
      <c r="AH5" s="118" t="s">
        <v>58</v>
      </c>
      <c r="AI5" s="118" t="s">
        <v>69</v>
      </c>
      <c r="AJ5" s="118" t="s">
        <v>124</v>
      </c>
      <c r="AK5" s="117" t="s">
        <v>125</v>
      </c>
      <c r="AL5" s="118" t="s">
        <v>60</v>
      </c>
      <c r="AM5" s="120" t="s">
        <v>126</v>
      </c>
    </row>
    <row r="6" spans="1:39" ht="15">
      <c r="A6" s="6">
        <v>1</v>
      </c>
      <c r="B6" s="6" t="s">
        <v>7</v>
      </c>
      <c r="C6" s="6" t="s">
        <v>10</v>
      </c>
      <c r="D6" s="6" t="s">
        <v>9</v>
      </c>
      <c r="E6" s="6">
        <v>2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</row>
    <row r="7" spans="1:39" ht="15">
      <c r="A7" s="6"/>
      <c r="B7" s="6" t="s">
        <v>7</v>
      </c>
      <c r="C7" s="6" t="s">
        <v>10</v>
      </c>
      <c r="D7" s="6" t="s">
        <v>16</v>
      </c>
      <c r="E7" s="6">
        <v>1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5">
      <c r="A8" s="6">
        <v>2</v>
      </c>
      <c r="B8" s="6">
        <v>0</v>
      </c>
      <c r="C8" s="6"/>
      <c r="D8" s="6"/>
      <c r="E8" s="6"/>
      <c r="H8">
        <v>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5">
      <c r="A9" s="6">
        <v>3</v>
      </c>
      <c r="B9" s="6">
        <v>0</v>
      </c>
      <c r="C9" s="6"/>
      <c r="D9" s="6"/>
      <c r="E9" s="6"/>
      <c r="H9">
        <v>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</v>
      </c>
      <c r="T9">
        <v>0</v>
      </c>
      <c r="U9">
        <v>1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</row>
    <row r="10" spans="1:39" ht="15">
      <c r="A10" s="6">
        <v>4</v>
      </c>
      <c r="B10" s="6" t="s">
        <v>7</v>
      </c>
      <c r="C10" s="6" t="s">
        <v>8</v>
      </c>
      <c r="D10" s="6" t="s">
        <v>18</v>
      </c>
      <c r="E10" s="6">
        <v>2</v>
      </c>
      <c r="H10">
        <v>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5">
      <c r="A11" s="6"/>
      <c r="B11" s="6" t="s">
        <v>7</v>
      </c>
      <c r="C11" s="6" t="s">
        <v>8</v>
      </c>
      <c r="D11" s="6" t="s">
        <v>9</v>
      </c>
      <c r="E11" s="6">
        <v>1</v>
      </c>
      <c r="H11">
        <v>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5">
      <c r="A12" s="6">
        <v>5</v>
      </c>
      <c r="B12" s="6">
        <v>0</v>
      </c>
      <c r="C12" s="6"/>
      <c r="D12" s="6"/>
      <c r="E12" s="6"/>
      <c r="H12" s="108">
        <v>7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2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5">
      <c r="A13" s="6">
        <v>6</v>
      </c>
      <c r="B13" s="6">
        <v>0</v>
      </c>
      <c r="C13" s="6"/>
      <c r="D13" s="6"/>
      <c r="E13" s="6"/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5">
      <c r="A14" s="6">
        <v>7</v>
      </c>
      <c r="B14" s="6" t="s">
        <v>7</v>
      </c>
      <c r="C14" s="6" t="s">
        <v>12</v>
      </c>
      <c r="D14" s="6" t="s">
        <v>13</v>
      </c>
      <c r="E14" s="6">
        <v>1</v>
      </c>
      <c r="H14">
        <v>9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5">
      <c r="A15" s="6"/>
      <c r="B15" s="6" t="s">
        <v>7</v>
      </c>
      <c r="C15" s="6" t="s">
        <v>14</v>
      </c>
      <c r="D15" s="6" t="s">
        <v>9</v>
      </c>
      <c r="E15" s="6">
        <v>2</v>
      </c>
      <c r="H15">
        <v>10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</row>
    <row r="16" spans="1:39" ht="15">
      <c r="A16" s="6">
        <v>8</v>
      </c>
      <c r="B16" s="6" t="s">
        <v>19</v>
      </c>
      <c r="C16" s="6" t="s">
        <v>20</v>
      </c>
      <c r="D16" s="6" t="s">
        <v>9</v>
      </c>
      <c r="E16" s="6">
        <v>2</v>
      </c>
      <c r="H16">
        <v>11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5">
      <c r="A17" s="6">
        <v>9</v>
      </c>
      <c r="B17" s="6">
        <v>0</v>
      </c>
      <c r="C17" s="6"/>
      <c r="D17" s="6"/>
      <c r="E17" s="6"/>
      <c r="H17">
        <v>12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</row>
    <row r="18" spans="1:39" ht="15">
      <c r="A18" s="6">
        <v>10</v>
      </c>
      <c r="B18" s="6">
        <v>0</v>
      </c>
      <c r="C18" s="6"/>
      <c r="D18" s="6"/>
      <c r="E18" s="6"/>
      <c r="H18">
        <v>13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1</v>
      </c>
    </row>
    <row r="19" spans="1:39" ht="15">
      <c r="A19" s="6">
        <v>11</v>
      </c>
      <c r="B19" s="6">
        <v>0</v>
      </c>
      <c r="C19" s="6"/>
      <c r="D19" s="6"/>
      <c r="E19" s="6"/>
      <c r="H19">
        <v>14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</row>
    <row r="20" spans="1:39" ht="15">
      <c r="A20" s="6">
        <v>12</v>
      </c>
      <c r="B20" s="6">
        <v>0</v>
      </c>
      <c r="C20" s="6"/>
      <c r="D20" s="6"/>
      <c r="E20" s="6"/>
      <c r="H20">
        <v>15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</row>
    <row r="21" spans="1:39" ht="15">
      <c r="A21" s="6">
        <v>13</v>
      </c>
      <c r="B21" s="6" t="s">
        <v>19</v>
      </c>
      <c r="C21" s="6" t="s">
        <v>11</v>
      </c>
      <c r="D21" s="6" t="s">
        <v>67</v>
      </c>
      <c r="E21" s="6">
        <v>1</v>
      </c>
      <c r="H21">
        <v>16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</row>
    <row r="22" spans="1:39" ht="15">
      <c r="A22" s="6">
        <v>14</v>
      </c>
      <c r="B22" s="6">
        <v>0</v>
      </c>
      <c r="C22" s="6"/>
      <c r="D22" s="6"/>
      <c r="E22" s="6"/>
      <c r="H22">
        <v>17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</row>
    <row r="23" spans="1:39" ht="15">
      <c r="A23" s="6">
        <v>15</v>
      </c>
      <c r="B23" s="6" t="s">
        <v>7</v>
      </c>
      <c r="C23" s="6" t="s">
        <v>38</v>
      </c>
      <c r="D23" s="6" t="s">
        <v>13</v>
      </c>
      <c r="E23" s="6">
        <v>1</v>
      </c>
      <c r="H23">
        <v>18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</row>
    <row r="24" spans="1:39" ht="15">
      <c r="A24" s="6">
        <v>16</v>
      </c>
      <c r="B24" s="6">
        <v>0</v>
      </c>
      <c r="C24" s="6"/>
      <c r="D24" s="6"/>
      <c r="E24" s="6"/>
      <c r="H24">
        <v>19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</row>
    <row r="25" spans="1:39" ht="15">
      <c r="A25" s="6">
        <v>17</v>
      </c>
      <c r="B25" s="6" t="s">
        <v>7</v>
      </c>
      <c r="C25" s="6" t="s">
        <v>36</v>
      </c>
      <c r="D25" s="6" t="s">
        <v>67</v>
      </c>
      <c r="E25" s="6">
        <v>1</v>
      </c>
      <c r="H25">
        <v>20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</row>
    <row r="26" spans="1:39" ht="15">
      <c r="A26" s="6">
        <v>18</v>
      </c>
      <c r="B26" s="6">
        <v>0</v>
      </c>
      <c r="C26" s="6"/>
      <c r="D26" s="6"/>
      <c r="E26" s="6"/>
      <c r="H26">
        <v>21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</row>
    <row r="27" spans="1:39" ht="15">
      <c r="A27" s="6">
        <v>19</v>
      </c>
      <c r="B27" s="6">
        <v>0</v>
      </c>
      <c r="C27" s="6"/>
      <c r="D27" s="6"/>
      <c r="E27" s="6"/>
      <c r="H27">
        <v>22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</row>
    <row r="28" spans="1:39" ht="15">
      <c r="A28" s="6">
        <v>20</v>
      </c>
      <c r="B28" s="6">
        <v>0</v>
      </c>
      <c r="C28" s="6"/>
      <c r="D28" s="6"/>
      <c r="E28" s="6"/>
      <c r="H28">
        <v>23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</row>
    <row r="29" spans="1:39" ht="15">
      <c r="A29" s="6">
        <v>21</v>
      </c>
      <c r="B29" s="6">
        <v>0</v>
      </c>
      <c r="C29" s="6"/>
      <c r="D29" s="6"/>
      <c r="E29" s="6"/>
      <c r="H29">
        <v>24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</row>
    <row r="30" spans="1:39" ht="15">
      <c r="A30" s="6">
        <v>22</v>
      </c>
      <c r="B30" s="6">
        <v>0</v>
      </c>
      <c r="C30" s="6"/>
      <c r="D30" s="6"/>
      <c r="E30" s="6"/>
      <c r="H30">
        <v>25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3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</row>
    <row r="31" spans="1:39" ht="15">
      <c r="A31" s="6">
        <v>23</v>
      </c>
      <c r="B31" s="6" t="s">
        <v>7</v>
      </c>
      <c r="C31" s="6" t="s">
        <v>8</v>
      </c>
      <c r="D31" s="6" t="s">
        <v>18</v>
      </c>
      <c r="E31" s="6">
        <v>2</v>
      </c>
      <c r="H31">
        <v>26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</row>
    <row r="32" spans="1:39" ht="15">
      <c r="A32" s="6">
        <v>24</v>
      </c>
      <c r="B32" s="6">
        <v>0</v>
      </c>
      <c r="C32" s="6"/>
      <c r="D32" s="6"/>
      <c r="E32" s="6"/>
      <c r="H32">
        <v>27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6</v>
      </c>
      <c r="U32">
        <v>7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</row>
    <row r="33" spans="1:39" ht="15">
      <c r="A33" s="6">
        <v>25</v>
      </c>
      <c r="B33" s="6" t="s">
        <v>7</v>
      </c>
      <c r="C33" s="6" t="s">
        <v>8</v>
      </c>
      <c r="D33" s="6" t="s">
        <v>9</v>
      </c>
      <c r="E33" s="6">
        <v>3</v>
      </c>
      <c r="H33">
        <v>28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5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</row>
    <row r="34" spans="1:39" ht="15">
      <c r="A34" s="6">
        <v>26</v>
      </c>
      <c r="B34" s="6" t="s">
        <v>7</v>
      </c>
      <c r="C34" s="6" t="s">
        <v>20</v>
      </c>
      <c r="D34" s="6" t="s">
        <v>16</v>
      </c>
      <c r="E34" s="6">
        <v>4</v>
      </c>
      <c r="H34">
        <v>29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</row>
    <row r="35" spans="1:39" ht="15">
      <c r="A35" s="6">
        <v>27</v>
      </c>
      <c r="B35" s="6" t="s">
        <v>7</v>
      </c>
      <c r="C35" s="6" t="s">
        <v>8</v>
      </c>
      <c r="D35" s="6" t="s">
        <v>9</v>
      </c>
      <c r="E35" s="6">
        <v>7</v>
      </c>
      <c r="H35">
        <v>30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</row>
    <row r="36" spans="1:39" ht="15">
      <c r="A36" s="6"/>
      <c r="B36" s="6" t="s">
        <v>28</v>
      </c>
      <c r="C36" s="6" t="s">
        <v>10</v>
      </c>
      <c r="D36" s="6" t="s">
        <v>30</v>
      </c>
      <c r="E36" s="6">
        <v>6</v>
      </c>
      <c r="H36">
        <v>31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</row>
    <row r="37" spans="1:39" ht="15">
      <c r="A37" s="6">
        <v>28</v>
      </c>
      <c r="B37" s="6" t="s">
        <v>28</v>
      </c>
      <c r="C37" s="6" t="s">
        <v>10</v>
      </c>
      <c r="D37" s="6" t="s">
        <v>30</v>
      </c>
      <c r="E37" s="6">
        <v>5</v>
      </c>
      <c r="H37">
        <v>32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</row>
    <row r="38" spans="1:39" ht="15">
      <c r="A38" s="6"/>
      <c r="B38" s="6" t="s">
        <v>7</v>
      </c>
      <c r="C38" s="6" t="s">
        <v>8</v>
      </c>
      <c r="D38" s="6" t="s">
        <v>34</v>
      </c>
      <c r="E38" s="6">
        <v>1</v>
      </c>
      <c r="H38">
        <v>33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</row>
    <row r="39" spans="1:39" ht="15">
      <c r="A39" s="6">
        <v>29</v>
      </c>
      <c r="B39" s="6">
        <v>0</v>
      </c>
      <c r="C39" s="6"/>
      <c r="D39" s="6"/>
      <c r="E39" s="6"/>
      <c r="H39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</row>
    <row r="40" spans="1:39" ht="15">
      <c r="A40" s="6">
        <v>30</v>
      </c>
      <c r="B40" s="6">
        <v>0</v>
      </c>
      <c r="C40" s="6"/>
      <c r="D40" s="6"/>
      <c r="E40" s="6"/>
      <c r="H40">
        <v>35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</v>
      </c>
      <c r="T40">
        <v>3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</row>
    <row r="41" spans="1:39" ht="15">
      <c r="A41" s="6">
        <v>31</v>
      </c>
      <c r="B41" s="6">
        <v>0</v>
      </c>
      <c r="C41" s="6"/>
      <c r="D41" s="6"/>
      <c r="E41" s="6"/>
      <c r="H41">
        <v>36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</row>
    <row r="42" spans="1:39" ht="15">
      <c r="A42" s="6">
        <v>32</v>
      </c>
      <c r="B42" s="6">
        <v>0</v>
      </c>
      <c r="C42" s="6"/>
      <c r="D42" s="6"/>
      <c r="E42" s="6"/>
      <c r="H42">
        <v>37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3</v>
      </c>
      <c r="AD42">
        <v>4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</row>
    <row r="43" spans="1:39" ht="15">
      <c r="A43" s="6">
        <v>33</v>
      </c>
      <c r="B43" s="6">
        <v>0</v>
      </c>
      <c r="C43" s="6"/>
      <c r="D43" s="6"/>
      <c r="E43" s="6"/>
      <c r="H43">
        <v>38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</row>
    <row r="44" spans="1:39" ht="15">
      <c r="A44" s="6">
        <v>34</v>
      </c>
      <c r="B44" s="6">
        <v>0</v>
      </c>
      <c r="C44" s="6"/>
      <c r="D44" s="6"/>
      <c r="E44" s="6"/>
      <c r="H44">
        <v>39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11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</row>
    <row r="45" spans="1:39" ht="15">
      <c r="A45" s="6">
        <v>35</v>
      </c>
      <c r="B45" s="6" t="s">
        <v>7</v>
      </c>
      <c r="C45" s="6" t="s">
        <v>38</v>
      </c>
      <c r="D45" s="6" t="s">
        <v>13</v>
      </c>
      <c r="E45" s="6">
        <v>1</v>
      </c>
      <c r="H45">
        <v>40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4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</row>
    <row r="46" spans="1:39" ht="15">
      <c r="A46" s="6"/>
      <c r="B46" s="6" t="s">
        <v>28</v>
      </c>
      <c r="C46" s="6" t="s">
        <v>10</v>
      </c>
      <c r="D46" s="6" t="s">
        <v>30</v>
      </c>
      <c r="E46" s="6">
        <v>3</v>
      </c>
      <c r="H46">
        <v>41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12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</row>
    <row r="47" spans="1:39" ht="15">
      <c r="A47" s="6"/>
      <c r="B47" s="6" t="s">
        <v>7</v>
      </c>
      <c r="C47" s="6" t="s">
        <v>8</v>
      </c>
      <c r="D47" s="6" t="s">
        <v>18</v>
      </c>
      <c r="E47" s="6">
        <v>6</v>
      </c>
      <c r="H47">
        <v>42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9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</row>
    <row r="48" spans="1:39" ht="15">
      <c r="A48" s="6">
        <v>36</v>
      </c>
      <c r="B48" s="6">
        <v>0</v>
      </c>
      <c r="C48" s="6"/>
      <c r="D48" s="6"/>
      <c r="E48" s="6"/>
      <c r="H48">
        <v>43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</row>
    <row r="49" spans="1:39" ht="15">
      <c r="A49" s="6">
        <v>37</v>
      </c>
      <c r="B49" s="6" t="s">
        <v>7</v>
      </c>
      <c r="C49" s="6" t="s">
        <v>12</v>
      </c>
      <c r="D49" s="6" t="s">
        <v>55</v>
      </c>
      <c r="E49" s="6">
        <v>3</v>
      </c>
      <c r="H49">
        <v>44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</row>
    <row r="50" spans="1:39" ht="15">
      <c r="A50" s="6"/>
      <c r="B50" s="6" t="s">
        <v>7</v>
      </c>
      <c r="C50" s="6" t="s">
        <v>56</v>
      </c>
      <c r="D50" s="6" t="s">
        <v>13</v>
      </c>
      <c r="E50" s="6">
        <v>4</v>
      </c>
      <c r="H50">
        <v>45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S50">
        <v>5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</row>
    <row r="51" spans="1:39" ht="15">
      <c r="A51" s="6">
        <v>38</v>
      </c>
      <c r="B51" s="6" t="s">
        <v>7</v>
      </c>
      <c r="C51" s="6" t="s">
        <v>8</v>
      </c>
      <c r="D51" s="6" t="s">
        <v>34</v>
      </c>
      <c r="E51" s="6">
        <v>1</v>
      </c>
      <c r="H51">
        <v>46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4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</row>
    <row r="52" spans="1:39" ht="15">
      <c r="A52" s="6">
        <v>39</v>
      </c>
      <c r="B52" s="6" t="s">
        <v>28</v>
      </c>
      <c r="C52" s="6" t="s">
        <v>8</v>
      </c>
      <c r="D52" s="6" t="s">
        <v>30</v>
      </c>
      <c r="E52" s="6">
        <v>11</v>
      </c>
      <c r="H52">
        <v>47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</v>
      </c>
      <c r="T52">
        <v>4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</row>
    <row r="53" spans="1:39" ht="15">
      <c r="A53" s="6">
        <v>40</v>
      </c>
      <c r="B53" s="12" t="s">
        <v>7</v>
      </c>
      <c r="C53" s="12" t="s">
        <v>12</v>
      </c>
      <c r="D53" s="12" t="s">
        <v>13</v>
      </c>
      <c r="E53" s="12">
        <v>4</v>
      </c>
      <c r="H53">
        <v>48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</row>
    <row r="54" spans="1:39" ht="15">
      <c r="A54" s="6">
        <v>41</v>
      </c>
      <c r="B54" s="6" t="s">
        <v>7</v>
      </c>
      <c r="C54" s="6" t="s">
        <v>10</v>
      </c>
      <c r="D54" s="6" t="s">
        <v>18</v>
      </c>
      <c r="E54" s="6">
        <v>12</v>
      </c>
      <c r="H54">
        <v>49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</row>
    <row r="55" spans="1:39" ht="15">
      <c r="A55" s="6">
        <v>42</v>
      </c>
      <c r="B55" s="6" t="s">
        <v>7</v>
      </c>
      <c r="C55" s="6" t="s">
        <v>8</v>
      </c>
      <c r="D55" s="6" t="s">
        <v>18</v>
      </c>
      <c r="E55" s="6">
        <v>9</v>
      </c>
      <c r="H55">
        <v>50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</row>
    <row r="56" spans="1:39" ht="15">
      <c r="A56" s="6">
        <v>43</v>
      </c>
      <c r="B56" s="6">
        <v>0</v>
      </c>
      <c r="C56" s="6"/>
      <c r="D56" s="6"/>
      <c r="E56" s="6"/>
      <c r="H56">
        <v>51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</row>
    <row r="57" spans="1:39" ht="15">
      <c r="A57" s="6">
        <v>44</v>
      </c>
      <c r="B57" s="6">
        <v>0</v>
      </c>
      <c r="C57" s="6"/>
      <c r="D57" s="6"/>
      <c r="E57" s="6"/>
      <c r="H57">
        <v>52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</row>
    <row r="58" spans="1:39" ht="15">
      <c r="A58" s="6">
        <v>45</v>
      </c>
      <c r="B58" s="6" t="s">
        <v>7</v>
      </c>
      <c r="C58" s="6" t="s">
        <v>8</v>
      </c>
      <c r="D58" s="6" t="s">
        <v>37</v>
      </c>
      <c r="E58" s="6">
        <v>1</v>
      </c>
      <c r="H58">
        <v>53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</row>
    <row r="59" spans="1:39" ht="15">
      <c r="A59" s="6"/>
      <c r="B59" s="6" t="s">
        <v>7</v>
      </c>
      <c r="C59" s="6" t="s">
        <v>8</v>
      </c>
      <c r="D59" s="6" t="s">
        <v>18</v>
      </c>
      <c r="E59" s="6">
        <v>5</v>
      </c>
      <c r="H59">
        <v>54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</row>
    <row r="60" spans="1:39" ht="15">
      <c r="A60" s="6">
        <v>46</v>
      </c>
      <c r="B60" s="6" t="s">
        <v>7</v>
      </c>
      <c r="C60" s="6" t="s">
        <v>38</v>
      </c>
      <c r="D60" s="6" t="s">
        <v>13</v>
      </c>
      <c r="E60" s="6">
        <v>4</v>
      </c>
      <c r="H60">
        <v>55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3</v>
      </c>
    </row>
    <row r="61" spans="1:39" ht="15">
      <c r="A61" s="6"/>
      <c r="B61" s="6" t="s">
        <v>7</v>
      </c>
      <c r="C61" s="6" t="s">
        <v>8</v>
      </c>
      <c r="D61" s="6" t="s">
        <v>18</v>
      </c>
      <c r="E61" s="6">
        <v>1</v>
      </c>
      <c r="H61">
        <v>56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</row>
    <row r="62" spans="1:39" ht="15">
      <c r="A62" s="6">
        <v>47</v>
      </c>
      <c r="B62" s="6" t="s">
        <v>7</v>
      </c>
      <c r="C62" s="6" t="s">
        <v>38</v>
      </c>
      <c r="D62" s="6" t="s">
        <v>13</v>
      </c>
      <c r="E62" s="6">
        <v>1</v>
      </c>
      <c r="H62">
        <v>57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</row>
    <row r="63" spans="1:39" ht="15">
      <c r="A63" s="6"/>
      <c r="B63" s="6" t="s">
        <v>28</v>
      </c>
      <c r="C63" s="6" t="s">
        <v>10</v>
      </c>
      <c r="D63" s="6" t="s">
        <v>30</v>
      </c>
      <c r="E63" s="6">
        <v>4</v>
      </c>
      <c r="H63">
        <v>58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1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</row>
    <row r="64" spans="1:39" ht="15">
      <c r="A64" s="6"/>
      <c r="B64" s="6" t="s">
        <v>7</v>
      </c>
      <c r="C64" s="6" t="s">
        <v>10</v>
      </c>
      <c r="D64" s="6" t="s">
        <v>18</v>
      </c>
      <c r="E64" s="6">
        <v>5</v>
      </c>
      <c r="H64">
        <v>59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6</v>
      </c>
    </row>
    <row r="65" spans="1:39" ht="15">
      <c r="A65" s="6">
        <v>48</v>
      </c>
      <c r="B65" s="6" t="s">
        <v>28</v>
      </c>
      <c r="C65" s="6" t="s">
        <v>8</v>
      </c>
      <c r="D65" s="6" t="s">
        <v>30</v>
      </c>
      <c r="E65" s="6">
        <v>1</v>
      </c>
      <c r="H65">
        <v>60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</row>
    <row r="66" spans="1:39" ht="15">
      <c r="A66" s="6">
        <v>49</v>
      </c>
      <c r="B66" s="6">
        <v>0</v>
      </c>
      <c r="C66" s="6"/>
      <c r="D66" s="6"/>
      <c r="E66" s="6"/>
      <c r="H66">
        <v>61</v>
      </c>
      <c r="I66">
        <v>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</row>
    <row r="67" spans="1:39" ht="15">
      <c r="A67" s="6">
        <v>50</v>
      </c>
      <c r="B67" s="6">
        <v>0</v>
      </c>
      <c r="C67" s="6"/>
      <c r="D67" s="6"/>
      <c r="E67" s="6"/>
      <c r="H67">
        <v>62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</row>
    <row r="68" spans="1:39" ht="15">
      <c r="A68" s="6">
        <v>51</v>
      </c>
      <c r="B68" s="6">
        <v>0</v>
      </c>
      <c r="C68" s="6"/>
      <c r="D68" s="6"/>
      <c r="E68" s="6"/>
      <c r="H68">
        <v>63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</row>
    <row r="69" spans="1:39" ht="15">
      <c r="A69" s="6">
        <v>52</v>
      </c>
      <c r="B69" s="6">
        <v>0</v>
      </c>
      <c r="C69" s="6"/>
      <c r="D69" s="6"/>
      <c r="E69" s="6"/>
      <c r="H69">
        <v>64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2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</row>
    <row r="70" spans="1:39" ht="15">
      <c r="A70" s="6">
        <v>53</v>
      </c>
      <c r="B70" s="6" t="s">
        <v>7</v>
      </c>
      <c r="C70" s="6" t="s">
        <v>10</v>
      </c>
      <c r="D70" s="6" t="s">
        <v>18</v>
      </c>
      <c r="E70" s="6">
        <v>1</v>
      </c>
      <c r="H70" s="121">
        <v>65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3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</row>
    <row r="71" spans="1:39" ht="15">
      <c r="A71" s="6">
        <v>54</v>
      </c>
      <c r="B71" s="6">
        <v>0</v>
      </c>
      <c r="C71" s="6"/>
      <c r="D71" s="6"/>
      <c r="E71" s="6"/>
      <c r="H71">
        <v>66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2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2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</row>
    <row r="72" spans="1:39" ht="15">
      <c r="A72" s="6">
        <v>55</v>
      </c>
      <c r="B72" s="6" t="s">
        <v>7</v>
      </c>
      <c r="C72" s="6" t="s">
        <v>11</v>
      </c>
      <c r="D72" s="6" t="s">
        <v>67</v>
      </c>
      <c r="E72" s="6">
        <v>3</v>
      </c>
      <c r="H72">
        <v>67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5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</row>
    <row r="73" spans="1:39" ht="15">
      <c r="A73" s="6">
        <v>56</v>
      </c>
      <c r="B73" s="6" t="s">
        <v>39</v>
      </c>
      <c r="C73" s="6" t="s">
        <v>14</v>
      </c>
      <c r="D73" s="6" t="s">
        <v>16</v>
      </c>
      <c r="E73" s="6">
        <v>1</v>
      </c>
      <c r="H73">
        <v>68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7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</row>
    <row r="74" spans="1:39" ht="15">
      <c r="A74" s="6">
        <v>57</v>
      </c>
      <c r="B74" s="6" t="s">
        <v>7</v>
      </c>
      <c r="C74" s="6" t="s">
        <v>12</v>
      </c>
      <c r="D74" s="6" t="s">
        <v>13</v>
      </c>
      <c r="E74" s="6">
        <v>1</v>
      </c>
      <c r="H74">
        <v>69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</v>
      </c>
      <c r="R74">
        <v>0</v>
      </c>
      <c r="S74">
        <v>3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2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0</v>
      </c>
      <c r="AK74">
        <v>0</v>
      </c>
      <c r="AL74">
        <v>0</v>
      </c>
      <c r="AM74">
        <v>0</v>
      </c>
    </row>
    <row r="75" spans="1:39" ht="15">
      <c r="A75" s="6">
        <v>58</v>
      </c>
      <c r="B75" s="6" t="s">
        <v>7</v>
      </c>
      <c r="C75" s="6" t="s">
        <v>17</v>
      </c>
      <c r="D75" s="6" t="s">
        <v>23</v>
      </c>
      <c r="E75" s="6">
        <v>1</v>
      </c>
      <c r="H75">
        <v>70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7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3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</row>
    <row r="76" spans="1:39" ht="15">
      <c r="A76" s="6">
        <v>59</v>
      </c>
      <c r="B76" s="6" t="s">
        <v>7</v>
      </c>
      <c r="C76" s="6" t="s">
        <v>11</v>
      </c>
      <c r="D76" s="6" t="s">
        <v>67</v>
      </c>
      <c r="E76" s="6">
        <v>6</v>
      </c>
      <c r="H76">
        <v>71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4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1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</row>
    <row r="77" spans="1:39" ht="15">
      <c r="A77" s="6">
        <v>60</v>
      </c>
      <c r="B77" s="6">
        <v>0</v>
      </c>
      <c r="C77" s="6"/>
      <c r="D77" s="6"/>
      <c r="E77" s="6"/>
      <c r="H77">
        <v>72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8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1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</row>
    <row r="78" spans="1:39" ht="15">
      <c r="A78" s="6">
        <v>61</v>
      </c>
      <c r="B78" s="6" t="s">
        <v>22</v>
      </c>
      <c r="C78" s="6" t="s">
        <v>21</v>
      </c>
      <c r="D78" s="6" t="s">
        <v>9</v>
      </c>
      <c r="E78" s="6">
        <v>1</v>
      </c>
      <c r="H78">
        <v>73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5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7</v>
      </c>
      <c r="AC78">
        <v>0</v>
      </c>
      <c r="AD78">
        <v>1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</row>
    <row r="79" spans="1:39" ht="15">
      <c r="A79" s="6">
        <v>62</v>
      </c>
      <c r="B79" s="6">
        <v>0</v>
      </c>
      <c r="C79" s="6"/>
      <c r="D79" s="6"/>
      <c r="E79" s="6"/>
      <c r="H79">
        <v>74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6</v>
      </c>
      <c r="T79">
        <v>14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</row>
    <row r="80" spans="1:39" ht="15">
      <c r="A80" s="6">
        <v>63</v>
      </c>
      <c r="B80" s="6">
        <v>0</v>
      </c>
      <c r="C80" s="6"/>
      <c r="D80" s="6"/>
      <c r="E80" s="6"/>
      <c r="H80">
        <v>75</v>
      </c>
      <c r="I80">
        <v>0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16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>
        <v>0</v>
      </c>
      <c r="AG80">
        <v>0</v>
      </c>
      <c r="AH80">
        <v>0</v>
      </c>
      <c r="AI80">
        <v>2</v>
      </c>
      <c r="AJ80">
        <v>0</v>
      </c>
      <c r="AK80">
        <v>0</v>
      </c>
      <c r="AL80">
        <v>0</v>
      </c>
      <c r="AM80">
        <v>0</v>
      </c>
    </row>
    <row r="81" spans="1:39" ht="15">
      <c r="A81" s="6">
        <v>64</v>
      </c>
      <c r="B81" s="6" t="s">
        <v>28</v>
      </c>
      <c r="C81" s="6" t="s">
        <v>8</v>
      </c>
      <c r="D81" s="6" t="s">
        <v>30</v>
      </c>
      <c r="E81" s="6">
        <v>2</v>
      </c>
      <c r="H81">
        <v>76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8</v>
      </c>
      <c r="AE81">
        <v>0</v>
      </c>
      <c r="AF81">
        <v>0</v>
      </c>
      <c r="AG81">
        <v>0</v>
      </c>
      <c r="AH81">
        <v>3</v>
      </c>
      <c r="AI81">
        <v>0</v>
      </c>
      <c r="AJ81">
        <v>0</v>
      </c>
      <c r="AK81">
        <v>0</v>
      </c>
      <c r="AL81">
        <v>0</v>
      </c>
      <c r="AM81">
        <v>0</v>
      </c>
    </row>
    <row r="82" spans="1:39" ht="15">
      <c r="A82" s="6">
        <v>65</v>
      </c>
      <c r="B82" s="6" t="s">
        <v>7</v>
      </c>
      <c r="C82" s="6" t="s">
        <v>12</v>
      </c>
      <c r="D82" s="6" t="s">
        <v>13</v>
      </c>
      <c r="E82" s="6">
        <v>3</v>
      </c>
      <c r="H82">
        <v>77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2</v>
      </c>
      <c r="R82">
        <v>0</v>
      </c>
      <c r="S82">
        <v>11</v>
      </c>
      <c r="T82">
        <v>3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2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1</v>
      </c>
    </row>
    <row r="83" spans="1:39" ht="15">
      <c r="A83" s="6"/>
      <c r="B83" s="6" t="s">
        <v>7</v>
      </c>
      <c r="C83" s="6" t="s">
        <v>8</v>
      </c>
      <c r="D83" s="6" t="s">
        <v>18</v>
      </c>
      <c r="E83" s="6">
        <v>2</v>
      </c>
      <c r="H83">
        <v>78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7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2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1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6</v>
      </c>
    </row>
    <row r="84" spans="1:39" ht="15">
      <c r="A84" s="6">
        <v>66</v>
      </c>
      <c r="B84" s="6" t="s">
        <v>7</v>
      </c>
      <c r="C84" s="6" t="s">
        <v>8</v>
      </c>
      <c r="D84" s="6" t="s">
        <v>37</v>
      </c>
      <c r="E84" s="6">
        <v>2</v>
      </c>
      <c r="H84">
        <v>79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8</v>
      </c>
      <c r="T84">
        <v>0</v>
      </c>
      <c r="U84">
        <v>0</v>
      </c>
      <c r="V84">
        <v>1</v>
      </c>
      <c r="W84">
        <v>1</v>
      </c>
      <c r="X84">
        <v>0</v>
      </c>
      <c r="Y84">
        <v>0</v>
      </c>
      <c r="Z84">
        <v>1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0</v>
      </c>
      <c r="AK84">
        <v>0</v>
      </c>
      <c r="AL84">
        <v>0</v>
      </c>
      <c r="AM84">
        <v>3</v>
      </c>
    </row>
    <row r="85" spans="1:39" ht="15">
      <c r="A85" s="6"/>
      <c r="B85" s="6" t="s">
        <v>7</v>
      </c>
      <c r="C85" s="6" t="s">
        <v>14</v>
      </c>
      <c r="D85" s="6" t="s">
        <v>31</v>
      </c>
      <c r="E85" s="6">
        <v>2</v>
      </c>
      <c r="H85">
        <v>80</v>
      </c>
      <c r="I85">
        <v>0</v>
      </c>
      <c r="J85">
        <v>0</v>
      </c>
      <c r="K85">
        <v>0</v>
      </c>
      <c r="L85">
        <v>3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5</v>
      </c>
      <c r="U85">
        <v>0</v>
      </c>
      <c r="V85">
        <v>0</v>
      </c>
      <c r="W85">
        <v>3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7</v>
      </c>
    </row>
    <row r="86" spans="1:40" ht="15">
      <c r="A86" s="6">
        <v>67</v>
      </c>
      <c r="B86" s="6" t="s">
        <v>7</v>
      </c>
      <c r="C86" s="6" t="s">
        <v>8</v>
      </c>
      <c r="D86" s="6" t="s">
        <v>37</v>
      </c>
      <c r="E86" s="6">
        <v>5</v>
      </c>
      <c r="I86">
        <f>SUM(I6:I85)</f>
        <v>1</v>
      </c>
      <c r="J86">
        <f aca="true" t="shared" si="0" ref="J86:AM86">SUM(J6:J85)</f>
        <v>0</v>
      </c>
      <c r="K86">
        <f t="shared" si="0"/>
        <v>3</v>
      </c>
      <c r="L86">
        <f t="shared" si="0"/>
        <v>3</v>
      </c>
      <c r="M86">
        <f t="shared" si="0"/>
        <v>0</v>
      </c>
      <c r="N86">
        <f t="shared" si="0"/>
        <v>0</v>
      </c>
      <c r="O86">
        <f t="shared" si="0"/>
        <v>2</v>
      </c>
      <c r="P86">
        <f t="shared" si="0"/>
        <v>5</v>
      </c>
      <c r="Q86">
        <f t="shared" si="0"/>
        <v>36</v>
      </c>
      <c r="R86">
        <f t="shared" si="0"/>
        <v>2</v>
      </c>
      <c r="S86">
        <f t="shared" si="0"/>
        <v>97</v>
      </c>
      <c r="T86">
        <f t="shared" si="0"/>
        <v>59</v>
      </c>
      <c r="U86">
        <f t="shared" si="0"/>
        <v>13</v>
      </c>
      <c r="V86">
        <f t="shared" si="0"/>
        <v>2</v>
      </c>
      <c r="W86">
        <f t="shared" si="0"/>
        <v>5</v>
      </c>
      <c r="X86">
        <f t="shared" si="0"/>
        <v>1</v>
      </c>
      <c r="Y86">
        <f t="shared" si="0"/>
        <v>2</v>
      </c>
      <c r="Z86">
        <f t="shared" si="0"/>
        <v>4</v>
      </c>
      <c r="AA86">
        <f t="shared" si="0"/>
        <v>1</v>
      </c>
      <c r="AB86">
        <f t="shared" si="0"/>
        <v>13</v>
      </c>
      <c r="AC86">
        <f t="shared" si="0"/>
        <v>3</v>
      </c>
      <c r="AD86">
        <f t="shared" si="0"/>
        <v>34</v>
      </c>
      <c r="AE86">
        <f t="shared" si="0"/>
        <v>4</v>
      </c>
      <c r="AF86">
        <f t="shared" si="0"/>
        <v>0</v>
      </c>
      <c r="AG86">
        <f t="shared" si="0"/>
        <v>1</v>
      </c>
      <c r="AH86">
        <f t="shared" si="0"/>
        <v>3</v>
      </c>
      <c r="AI86">
        <f t="shared" si="0"/>
        <v>4</v>
      </c>
      <c r="AJ86">
        <f t="shared" si="0"/>
        <v>0</v>
      </c>
      <c r="AK86">
        <f t="shared" si="0"/>
        <v>0</v>
      </c>
      <c r="AL86">
        <f t="shared" si="0"/>
        <v>0</v>
      </c>
      <c r="AM86">
        <f t="shared" si="0"/>
        <v>27</v>
      </c>
      <c r="AN86">
        <f>SUM(I86:AM86)</f>
        <v>325</v>
      </c>
    </row>
    <row r="87" spans="1:5" ht="15">
      <c r="A87" s="6"/>
      <c r="B87" s="6" t="s">
        <v>39</v>
      </c>
      <c r="C87" s="6" t="s">
        <v>12</v>
      </c>
      <c r="D87" s="6" t="s">
        <v>13</v>
      </c>
      <c r="E87" s="6">
        <v>1</v>
      </c>
    </row>
    <row r="88" spans="1:5" ht="15">
      <c r="A88" s="6">
        <v>68</v>
      </c>
      <c r="B88" s="6" t="s">
        <v>39</v>
      </c>
      <c r="C88" s="6" t="s">
        <v>10</v>
      </c>
      <c r="D88" s="6" t="s">
        <v>23</v>
      </c>
      <c r="E88" s="6">
        <v>1</v>
      </c>
    </row>
    <row r="89" spans="1:5" ht="15">
      <c r="A89" s="6"/>
      <c r="B89" s="6" t="s">
        <v>7</v>
      </c>
      <c r="C89" s="6" t="s">
        <v>10</v>
      </c>
      <c r="D89" s="6" t="s">
        <v>37</v>
      </c>
      <c r="E89" s="6">
        <v>7</v>
      </c>
    </row>
    <row r="90" spans="1:5" ht="15">
      <c r="A90" s="6">
        <v>69</v>
      </c>
      <c r="B90" s="6" t="s">
        <v>7</v>
      </c>
      <c r="C90" s="6" t="s">
        <v>8</v>
      </c>
      <c r="D90" s="6" t="s">
        <v>37</v>
      </c>
      <c r="E90" s="6">
        <v>1</v>
      </c>
    </row>
    <row r="91" spans="1:22" ht="15.75">
      <c r="A91" s="6"/>
      <c r="B91" s="6" t="s">
        <v>22</v>
      </c>
      <c r="C91" s="6" t="s">
        <v>25</v>
      </c>
      <c r="D91" s="6" t="s">
        <v>69</v>
      </c>
      <c r="E91" s="6">
        <v>1</v>
      </c>
      <c r="I91" s="2"/>
      <c r="J91" s="11" t="s">
        <v>6</v>
      </c>
      <c r="K91" s="11" t="s">
        <v>88</v>
      </c>
      <c r="L91" s="11" t="s">
        <v>3</v>
      </c>
      <c r="M91" s="11" t="s">
        <v>65</v>
      </c>
      <c r="N91" s="11" t="s">
        <v>66</v>
      </c>
      <c r="R91" t="s">
        <v>6</v>
      </c>
      <c r="S91" t="s">
        <v>137</v>
      </c>
      <c r="U91" t="s">
        <v>6</v>
      </c>
      <c r="V91" t="s">
        <v>138</v>
      </c>
    </row>
    <row r="92" spans="1:22" ht="15.75">
      <c r="A92" s="6"/>
      <c r="B92" s="6" t="s">
        <v>7</v>
      </c>
      <c r="C92" s="6" t="s">
        <v>14</v>
      </c>
      <c r="D92" s="6" t="s">
        <v>31</v>
      </c>
      <c r="E92" s="6">
        <v>2</v>
      </c>
      <c r="I92" s="2">
        <v>1</v>
      </c>
      <c r="J92" s="14" t="s">
        <v>22</v>
      </c>
      <c r="K92" s="14" t="s">
        <v>89</v>
      </c>
      <c r="L92" s="14" t="s">
        <v>21</v>
      </c>
      <c r="M92" s="14" t="s">
        <v>9</v>
      </c>
      <c r="N92" s="1">
        <f>SUM(E78)</f>
        <v>1</v>
      </c>
      <c r="R92" t="s">
        <v>22</v>
      </c>
      <c r="S92">
        <v>2</v>
      </c>
      <c r="U92" t="s">
        <v>22</v>
      </c>
      <c r="V92">
        <v>5</v>
      </c>
    </row>
    <row r="93" spans="1:22" ht="15.75">
      <c r="A93" s="6"/>
      <c r="B93" s="6" t="s">
        <v>7</v>
      </c>
      <c r="C93" s="6" t="s">
        <v>10</v>
      </c>
      <c r="D93" s="6" t="s">
        <v>18</v>
      </c>
      <c r="E93" s="6">
        <v>3</v>
      </c>
      <c r="I93" s="2">
        <v>2</v>
      </c>
      <c r="J93" s="1"/>
      <c r="K93" s="1" t="s">
        <v>95</v>
      </c>
      <c r="L93" s="1" t="s">
        <v>25</v>
      </c>
      <c r="M93" s="1" t="s">
        <v>69</v>
      </c>
      <c r="N93" s="1">
        <f>SUM(E126,E91,E108)</f>
        <v>4</v>
      </c>
      <c r="R93" t="s">
        <v>19</v>
      </c>
      <c r="S93">
        <v>5</v>
      </c>
      <c r="U93" t="s">
        <v>19</v>
      </c>
      <c r="V93">
        <f>SUM(N111:N115)</f>
        <v>38</v>
      </c>
    </row>
    <row r="94" spans="1:22" ht="15.75">
      <c r="A94" s="6">
        <v>70</v>
      </c>
      <c r="B94" s="6" t="s">
        <v>7</v>
      </c>
      <c r="C94" s="6" t="s">
        <v>36</v>
      </c>
      <c r="D94" s="6"/>
      <c r="E94" s="6">
        <v>3</v>
      </c>
      <c r="I94" s="2">
        <v>3</v>
      </c>
      <c r="J94" s="14" t="s">
        <v>7</v>
      </c>
      <c r="K94" s="14" t="s">
        <v>91</v>
      </c>
      <c r="L94" s="1" t="s">
        <v>8</v>
      </c>
      <c r="M94" s="1" t="s">
        <v>37</v>
      </c>
      <c r="N94" s="1">
        <f>SUM(E84,E58,E86,E89,E90,E95,E96,E114,E119)</f>
        <v>36</v>
      </c>
      <c r="R94" t="s">
        <v>7</v>
      </c>
      <c r="S94">
        <v>15</v>
      </c>
      <c r="U94" t="s">
        <v>7</v>
      </c>
      <c r="V94">
        <f>SUM(N94:N108)</f>
        <v>220</v>
      </c>
    </row>
    <row r="95" spans="1:22" ht="15.75">
      <c r="A95" s="6"/>
      <c r="B95" s="6" t="s">
        <v>7</v>
      </c>
      <c r="C95" s="6" t="s">
        <v>10</v>
      </c>
      <c r="D95" s="6" t="s">
        <v>37</v>
      </c>
      <c r="E95" s="6">
        <v>7</v>
      </c>
      <c r="I95" s="2">
        <v>4</v>
      </c>
      <c r="J95" s="1"/>
      <c r="K95" s="14" t="s">
        <v>91</v>
      </c>
      <c r="L95" s="1" t="s">
        <v>8</v>
      </c>
      <c r="M95" s="1" t="s">
        <v>34</v>
      </c>
      <c r="N95" s="1">
        <f>SUM(E38,E51)</f>
        <v>2</v>
      </c>
      <c r="R95" t="s">
        <v>28</v>
      </c>
      <c r="S95">
        <v>2</v>
      </c>
      <c r="U95" t="s">
        <v>28</v>
      </c>
      <c r="V95">
        <f>SUM(N109:N110)</f>
        <v>62</v>
      </c>
    </row>
    <row r="96" spans="1:22" ht="15.75">
      <c r="A96" s="6">
        <v>71</v>
      </c>
      <c r="B96" s="6" t="s">
        <v>7</v>
      </c>
      <c r="C96" s="6" t="s">
        <v>8</v>
      </c>
      <c r="D96" s="6" t="s">
        <v>37</v>
      </c>
      <c r="E96" s="6">
        <v>4</v>
      </c>
      <c r="I96" s="2">
        <v>5</v>
      </c>
      <c r="J96" s="1"/>
      <c r="K96" s="14" t="s">
        <v>91</v>
      </c>
      <c r="L96" s="1" t="s">
        <v>8</v>
      </c>
      <c r="M96" s="1" t="s">
        <v>18</v>
      </c>
      <c r="N96" s="1">
        <f>SUM(E10,E31,E47,E54,E55,E59,E61,E64,E70,E83,E93,E98,E103,E107,E112,E122)</f>
        <v>97</v>
      </c>
      <c r="V96">
        <f>SUM(V92:V95)</f>
        <v>325</v>
      </c>
    </row>
    <row r="97" spans="1:14" ht="15.75">
      <c r="A97" s="6"/>
      <c r="B97" s="6" t="s">
        <v>7</v>
      </c>
      <c r="C97" s="6" t="s">
        <v>14</v>
      </c>
      <c r="D97" s="6" t="s">
        <v>31</v>
      </c>
      <c r="E97" s="6">
        <v>1</v>
      </c>
      <c r="I97" s="2">
        <v>6</v>
      </c>
      <c r="J97" s="1"/>
      <c r="K97" s="14" t="s">
        <v>91</v>
      </c>
      <c r="L97" s="1" t="s">
        <v>8</v>
      </c>
      <c r="M97" s="14" t="s">
        <v>9</v>
      </c>
      <c r="N97" s="1">
        <f>SUM(E6,E11,E33,E35)</f>
        <v>13</v>
      </c>
    </row>
    <row r="98" spans="1:14" ht="15.75">
      <c r="A98" s="6">
        <v>72</v>
      </c>
      <c r="B98" s="6" t="s">
        <v>7</v>
      </c>
      <c r="C98" s="6" t="s">
        <v>8</v>
      </c>
      <c r="D98" s="6" t="s">
        <v>18</v>
      </c>
      <c r="E98" s="6">
        <v>8</v>
      </c>
      <c r="I98" s="2">
        <v>7</v>
      </c>
      <c r="J98" s="1"/>
      <c r="K98" s="14" t="s">
        <v>91</v>
      </c>
      <c r="L98" s="1" t="s">
        <v>8</v>
      </c>
      <c r="M98" s="14" t="s">
        <v>16</v>
      </c>
      <c r="N98" s="1">
        <f>SUM(E7,E124)</f>
        <v>2</v>
      </c>
    </row>
    <row r="99" spans="1:14" ht="15.75">
      <c r="A99" s="6"/>
      <c r="B99" s="6" t="s">
        <v>7</v>
      </c>
      <c r="C99" s="6" t="s">
        <v>14</v>
      </c>
      <c r="D99" s="6" t="s">
        <v>31</v>
      </c>
      <c r="E99" s="6">
        <v>1</v>
      </c>
      <c r="I99" s="2">
        <v>8</v>
      </c>
      <c r="J99" s="1"/>
      <c r="K99" s="14" t="s">
        <v>91</v>
      </c>
      <c r="L99" s="1" t="s">
        <v>8</v>
      </c>
      <c r="M99" s="14" t="s">
        <v>23</v>
      </c>
      <c r="N99" s="1">
        <f>SUM(E123,E129,E88)</f>
        <v>5</v>
      </c>
    </row>
    <row r="100" spans="1:14" ht="15.75">
      <c r="A100" s="6">
        <v>73</v>
      </c>
      <c r="B100" s="6" t="s">
        <v>7</v>
      </c>
      <c r="C100" s="6" t="s">
        <v>38</v>
      </c>
      <c r="D100" s="6" t="s">
        <v>13</v>
      </c>
      <c r="E100" s="6">
        <v>1</v>
      </c>
      <c r="I100" s="2">
        <v>9</v>
      </c>
      <c r="J100" s="1"/>
      <c r="K100" s="14" t="s">
        <v>91</v>
      </c>
      <c r="L100" s="1" t="s">
        <v>8</v>
      </c>
      <c r="M100" s="14" t="s">
        <v>31</v>
      </c>
      <c r="N100" s="1">
        <f>SUM(E88)</f>
        <v>1</v>
      </c>
    </row>
    <row r="101" spans="1:14" ht="15.75">
      <c r="A101" s="6"/>
      <c r="B101" s="6" t="s">
        <v>28</v>
      </c>
      <c r="C101" s="6" t="s">
        <v>8</v>
      </c>
      <c r="D101" s="6" t="s">
        <v>30</v>
      </c>
      <c r="E101" s="6">
        <v>5</v>
      </c>
      <c r="I101" s="2">
        <v>10</v>
      </c>
      <c r="J101" s="1"/>
      <c r="K101" s="14" t="s">
        <v>91</v>
      </c>
      <c r="L101" s="1" t="s">
        <v>14</v>
      </c>
      <c r="M101" s="14" t="s">
        <v>9</v>
      </c>
      <c r="N101" s="1">
        <f>SUM(E15)</f>
        <v>2</v>
      </c>
    </row>
    <row r="102" spans="1:14" ht="15.75">
      <c r="A102" s="6"/>
      <c r="B102" s="6" t="s">
        <v>7</v>
      </c>
      <c r="C102" s="6" t="s">
        <v>14</v>
      </c>
      <c r="D102" s="6" t="s">
        <v>31</v>
      </c>
      <c r="E102" s="6">
        <v>7</v>
      </c>
      <c r="I102" s="2">
        <v>11</v>
      </c>
      <c r="J102" s="1"/>
      <c r="K102" s="14" t="s">
        <v>91</v>
      </c>
      <c r="L102" s="1" t="s">
        <v>14</v>
      </c>
      <c r="M102" s="14" t="s">
        <v>16</v>
      </c>
      <c r="N102" s="1">
        <f>SUM(E73,E125,E120)</f>
        <v>4</v>
      </c>
    </row>
    <row r="103" spans="1:14" ht="15.75">
      <c r="A103" s="6">
        <v>74</v>
      </c>
      <c r="B103" s="6" t="s">
        <v>7</v>
      </c>
      <c r="C103" s="6" t="s">
        <v>8</v>
      </c>
      <c r="D103" s="6" t="s">
        <v>18</v>
      </c>
      <c r="E103" s="6">
        <v>6</v>
      </c>
      <c r="I103" s="2">
        <v>12</v>
      </c>
      <c r="J103" s="1"/>
      <c r="K103" s="14" t="s">
        <v>91</v>
      </c>
      <c r="L103" s="1" t="s">
        <v>14</v>
      </c>
      <c r="M103" s="14" t="s">
        <v>23</v>
      </c>
      <c r="N103" s="1">
        <f>SUM(E75)</f>
        <v>1</v>
      </c>
    </row>
    <row r="104" spans="1:14" ht="15.75">
      <c r="A104" s="6"/>
      <c r="B104" s="6" t="s">
        <v>7</v>
      </c>
      <c r="C104" s="6" t="s">
        <v>38</v>
      </c>
      <c r="D104" s="6" t="s">
        <v>13</v>
      </c>
      <c r="E104" s="6">
        <v>1</v>
      </c>
      <c r="I104" s="2">
        <v>13</v>
      </c>
      <c r="J104" s="1"/>
      <c r="K104" s="14" t="s">
        <v>91</v>
      </c>
      <c r="L104" s="1" t="s">
        <v>14</v>
      </c>
      <c r="M104" s="14" t="s">
        <v>31</v>
      </c>
      <c r="N104" s="1">
        <f>SUM(E92,E85,E97,E99,E102)</f>
        <v>13</v>
      </c>
    </row>
    <row r="105" spans="1:14" ht="15.75">
      <c r="A105" s="6"/>
      <c r="B105" s="6" t="s">
        <v>28</v>
      </c>
      <c r="C105" s="6" t="s">
        <v>10</v>
      </c>
      <c r="D105" s="6" t="s">
        <v>30</v>
      </c>
      <c r="E105" s="6">
        <v>14</v>
      </c>
      <c r="I105" s="2">
        <v>14</v>
      </c>
      <c r="J105" s="1"/>
      <c r="K105" s="14" t="s">
        <v>91</v>
      </c>
      <c r="L105" s="1" t="s">
        <v>12</v>
      </c>
      <c r="M105" s="1" t="s">
        <v>55</v>
      </c>
      <c r="N105" s="1">
        <v>3</v>
      </c>
    </row>
    <row r="106" spans="1:14" ht="15.75">
      <c r="A106" s="6">
        <v>75</v>
      </c>
      <c r="B106" s="6" t="s">
        <v>7</v>
      </c>
      <c r="C106" s="6" t="s">
        <v>12</v>
      </c>
      <c r="D106" s="6" t="s">
        <v>13</v>
      </c>
      <c r="E106" s="6">
        <v>1</v>
      </c>
      <c r="I106" s="2">
        <v>15</v>
      </c>
      <c r="J106" s="1"/>
      <c r="K106" s="14" t="s">
        <v>91</v>
      </c>
      <c r="L106" s="1" t="s">
        <v>12</v>
      </c>
      <c r="M106" s="1" t="s">
        <v>13</v>
      </c>
      <c r="N106" s="1">
        <f>SUM(E14,E23,E45,E50,E53,E60,E62,E74,E82,E87,E100,E104,E106,E110,E113)</f>
        <v>34</v>
      </c>
    </row>
    <row r="107" spans="1:14" ht="15.75">
      <c r="A107" s="6"/>
      <c r="B107" s="6" t="s">
        <v>7</v>
      </c>
      <c r="C107" s="6" t="s">
        <v>8</v>
      </c>
      <c r="D107" s="6" t="s">
        <v>18</v>
      </c>
      <c r="E107" s="6">
        <v>16</v>
      </c>
      <c r="I107" s="2">
        <v>16</v>
      </c>
      <c r="J107" s="1"/>
      <c r="K107" s="14" t="s">
        <v>91</v>
      </c>
      <c r="L107" s="1" t="s">
        <v>36</v>
      </c>
      <c r="M107" s="14" t="s">
        <v>67</v>
      </c>
      <c r="N107" s="1">
        <f>SUM(E25,E94)</f>
        <v>4</v>
      </c>
    </row>
    <row r="108" spans="1:14" ht="15.75">
      <c r="A108" s="6"/>
      <c r="B108" s="6" t="s">
        <v>22</v>
      </c>
      <c r="C108" s="6" t="s">
        <v>25</v>
      </c>
      <c r="D108" s="6" t="s">
        <v>69</v>
      </c>
      <c r="E108" s="6">
        <v>2</v>
      </c>
      <c r="I108" s="2">
        <v>17</v>
      </c>
      <c r="J108" s="1" t="s">
        <v>7</v>
      </c>
      <c r="K108" s="1" t="s">
        <v>94</v>
      </c>
      <c r="L108" s="1" t="s">
        <v>57</v>
      </c>
      <c r="M108" s="1" t="s">
        <v>58</v>
      </c>
      <c r="N108" s="1">
        <v>3</v>
      </c>
    </row>
    <row r="109" spans="1:14" ht="15.75">
      <c r="A109" s="6"/>
      <c r="B109" s="6" t="s">
        <v>19</v>
      </c>
      <c r="C109" s="6" t="s">
        <v>21</v>
      </c>
      <c r="D109" s="1" t="s">
        <v>64</v>
      </c>
      <c r="E109" s="6">
        <v>3</v>
      </c>
      <c r="I109" s="2">
        <v>18</v>
      </c>
      <c r="J109" s="1" t="s">
        <v>28</v>
      </c>
      <c r="K109" s="1" t="s">
        <v>89</v>
      </c>
      <c r="L109" s="1" t="s">
        <v>26</v>
      </c>
      <c r="M109" s="1" t="s">
        <v>9</v>
      </c>
      <c r="N109" s="1">
        <f>SUM(E131)</f>
        <v>3</v>
      </c>
    </row>
    <row r="110" spans="1:14" ht="15.75">
      <c r="A110" s="6">
        <v>76</v>
      </c>
      <c r="B110" s="6" t="s">
        <v>7</v>
      </c>
      <c r="C110" s="6" t="s">
        <v>12</v>
      </c>
      <c r="D110" s="6" t="s">
        <v>13</v>
      </c>
      <c r="E110" s="6">
        <v>8</v>
      </c>
      <c r="I110" s="2">
        <v>19</v>
      </c>
      <c r="J110" s="1"/>
      <c r="K110" s="1" t="s">
        <v>91</v>
      </c>
      <c r="L110" s="1" t="s">
        <v>8</v>
      </c>
      <c r="M110" s="1" t="s">
        <v>30</v>
      </c>
      <c r="N110" s="1">
        <f>SUM(E36,E37,E46,E52,E63,E65,E81,E101,E105,E116,E130)</f>
        <v>59</v>
      </c>
    </row>
    <row r="111" spans="1:14" ht="15.75">
      <c r="A111" s="6"/>
      <c r="B111" s="6" t="s">
        <v>7</v>
      </c>
      <c r="C111" s="6" t="s">
        <v>57</v>
      </c>
      <c r="D111" s="6" t="s">
        <v>58</v>
      </c>
      <c r="E111" s="6">
        <v>3</v>
      </c>
      <c r="I111" s="2">
        <v>20</v>
      </c>
      <c r="J111" s="14" t="s">
        <v>19</v>
      </c>
      <c r="K111" s="14" t="s">
        <v>89</v>
      </c>
      <c r="L111" s="14" t="s">
        <v>21</v>
      </c>
      <c r="M111" s="1" t="s">
        <v>64</v>
      </c>
      <c r="N111" s="1">
        <f>SUM(E109)</f>
        <v>3</v>
      </c>
    </row>
    <row r="112" spans="1:14" ht="15.75">
      <c r="A112" s="6">
        <v>77</v>
      </c>
      <c r="B112" s="6" t="s">
        <v>7</v>
      </c>
      <c r="C112" s="6" t="s">
        <v>10</v>
      </c>
      <c r="D112" s="6" t="s">
        <v>18</v>
      </c>
      <c r="E112" s="6">
        <v>11</v>
      </c>
      <c r="I112" s="2">
        <v>21</v>
      </c>
      <c r="J112" s="1"/>
      <c r="K112" s="1" t="s">
        <v>91</v>
      </c>
      <c r="L112" s="1" t="s">
        <v>20</v>
      </c>
      <c r="M112" s="14" t="s">
        <v>9</v>
      </c>
      <c r="N112" s="1">
        <f>SUM(E117)</f>
        <v>1</v>
      </c>
    </row>
    <row r="113" spans="1:14" ht="15.75">
      <c r="A113" s="6"/>
      <c r="B113" s="6" t="s">
        <v>7</v>
      </c>
      <c r="C113" s="6" t="s">
        <v>12</v>
      </c>
      <c r="D113" s="6" t="s">
        <v>13</v>
      </c>
      <c r="E113" s="6">
        <v>2</v>
      </c>
      <c r="I113" s="2">
        <v>22</v>
      </c>
      <c r="J113" s="1"/>
      <c r="K113" s="14" t="s">
        <v>91</v>
      </c>
      <c r="L113" s="1" t="s">
        <v>20</v>
      </c>
      <c r="M113" s="14" t="s">
        <v>16</v>
      </c>
      <c r="N113" s="1">
        <f>SUM(E34,E117)</f>
        <v>5</v>
      </c>
    </row>
    <row r="114" spans="1:14" ht="15.75">
      <c r="A114" s="6"/>
      <c r="B114" s="6" t="s">
        <v>7</v>
      </c>
      <c r="C114" s="6" t="s">
        <v>10</v>
      </c>
      <c r="D114" s="6" t="s">
        <v>37</v>
      </c>
      <c r="E114" s="6">
        <v>2</v>
      </c>
      <c r="I114" s="2">
        <v>23</v>
      </c>
      <c r="J114" s="1"/>
      <c r="K114" s="1" t="s">
        <v>92</v>
      </c>
      <c r="L114" s="1" t="s">
        <v>59</v>
      </c>
      <c r="M114" s="1" t="s">
        <v>67</v>
      </c>
      <c r="N114" s="1">
        <v>1</v>
      </c>
    </row>
    <row r="115" spans="1:14" ht="15.75">
      <c r="A115" s="6"/>
      <c r="B115" s="6" t="s">
        <v>19</v>
      </c>
      <c r="C115" s="6" t="s">
        <v>11</v>
      </c>
      <c r="D115" s="6" t="s">
        <v>67</v>
      </c>
      <c r="E115" s="6">
        <v>2</v>
      </c>
      <c r="I115" s="2">
        <v>24</v>
      </c>
      <c r="J115" s="86"/>
      <c r="K115" s="86" t="s">
        <v>93</v>
      </c>
      <c r="L115" s="86" t="s">
        <v>11</v>
      </c>
      <c r="M115" s="86" t="s">
        <v>67</v>
      </c>
      <c r="N115" s="86">
        <f>SUM(E128,E127,E118,E115,E76,E72,E21)</f>
        <v>28</v>
      </c>
    </row>
    <row r="116" spans="1:14" ht="15.75">
      <c r="A116" s="6"/>
      <c r="B116" s="6" t="s">
        <v>28</v>
      </c>
      <c r="C116" s="6" t="s">
        <v>8</v>
      </c>
      <c r="D116" s="6" t="s">
        <v>30</v>
      </c>
      <c r="E116" s="6">
        <v>3</v>
      </c>
      <c r="I116" s="2"/>
      <c r="J116" s="10"/>
      <c r="K116" s="10"/>
      <c r="L116" s="10"/>
      <c r="M116" s="10"/>
      <c r="N116" s="8">
        <f>SUM(N92:N115)</f>
        <v>325</v>
      </c>
    </row>
    <row r="117" spans="1:5" ht="15">
      <c r="A117" s="6"/>
      <c r="B117" s="6" t="s">
        <v>7</v>
      </c>
      <c r="C117" s="6" t="s">
        <v>20</v>
      </c>
      <c r="D117" s="6" t="s">
        <v>16</v>
      </c>
      <c r="E117" s="6">
        <v>1</v>
      </c>
    </row>
    <row r="118" spans="1:5" ht="15">
      <c r="A118" s="6">
        <v>78</v>
      </c>
      <c r="B118" s="6" t="s">
        <v>19</v>
      </c>
      <c r="C118" s="6" t="s">
        <v>11</v>
      </c>
      <c r="D118" s="6" t="s">
        <v>67</v>
      </c>
      <c r="E118" s="6">
        <v>6</v>
      </c>
    </row>
    <row r="119" spans="1:5" ht="15">
      <c r="A119" s="6"/>
      <c r="B119" s="6" t="s">
        <v>7</v>
      </c>
      <c r="C119" s="6" t="s">
        <v>8</v>
      </c>
      <c r="D119" s="6" t="s">
        <v>37</v>
      </c>
      <c r="E119" s="6">
        <v>7</v>
      </c>
    </row>
    <row r="120" spans="1:5" ht="15">
      <c r="A120" s="6"/>
      <c r="B120" s="6" t="s">
        <v>7</v>
      </c>
      <c r="C120" s="6" t="s">
        <v>14</v>
      </c>
      <c r="D120" s="6" t="s">
        <v>16</v>
      </c>
      <c r="E120" s="6">
        <v>2</v>
      </c>
    </row>
    <row r="121" spans="1:5" ht="15">
      <c r="A121" s="6"/>
      <c r="B121" s="6" t="s">
        <v>19</v>
      </c>
      <c r="C121" s="6" t="s">
        <v>59</v>
      </c>
      <c r="D121" s="6" t="s">
        <v>67</v>
      </c>
      <c r="E121" s="6">
        <v>1</v>
      </c>
    </row>
    <row r="122" spans="1:5" ht="15">
      <c r="A122" s="6">
        <v>79</v>
      </c>
      <c r="B122" s="6" t="s">
        <v>7</v>
      </c>
      <c r="C122" s="6" t="s">
        <v>8</v>
      </c>
      <c r="D122" s="6" t="s">
        <v>18</v>
      </c>
      <c r="E122" s="6">
        <v>8</v>
      </c>
    </row>
    <row r="123" spans="1:5" ht="15">
      <c r="A123" s="6"/>
      <c r="B123" s="6" t="s">
        <v>7</v>
      </c>
      <c r="C123" s="6" t="s">
        <v>8</v>
      </c>
      <c r="D123" s="6" t="s">
        <v>23</v>
      </c>
      <c r="E123" s="6">
        <v>1</v>
      </c>
    </row>
    <row r="124" spans="1:5" ht="15">
      <c r="A124" s="6"/>
      <c r="B124" s="6"/>
      <c r="C124" s="6" t="s">
        <v>8</v>
      </c>
      <c r="D124" s="6" t="s">
        <v>16</v>
      </c>
      <c r="E124" s="6">
        <v>1</v>
      </c>
    </row>
    <row r="125" spans="1:5" ht="15">
      <c r="A125" s="6"/>
      <c r="B125" s="6" t="s">
        <v>7</v>
      </c>
      <c r="C125" s="6" t="s">
        <v>17</v>
      </c>
      <c r="D125" s="6" t="s">
        <v>16</v>
      </c>
      <c r="E125" s="6">
        <v>1</v>
      </c>
    </row>
    <row r="126" spans="1:5" ht="15">
      <c r="A126" s="6"/>
      <c r="B126" s="6" t="s">
        <v>22</v>
      </c>
      <c r="C126" s="6" t="s">
        <v>25</v>
      </c>
      <c r="D126" s="6" t="s">
        <v>69</v>
      </c>
      <c r="E126" s="6">
        <v>1</v>
      </c>
    </row>
    <row r="127" spans="1:5" ht="15">
      <c r="A127" s="6"/>
      <c r="B127" s="6" t="s">
        <v>19</v>
      </c>
      <c r="C127" s="6" t="s">
        <v>11</v>
      </c>
      <c r="D127" s="6" t="s">
        <v>67</v>
      </c>
      <c r="E127" s="6">
        <v>3</v>
      </c>
    </row>
    <row r="128" spans="1:5" ht="15">
      <c r="A128" s="6">
        <v>80</v>
      </c>
      <c r="B128" s="6" t="s">
        <v>19</v>
      </c>
      <c r="C128" s="6" t="s">
        <v>11</v>
      </c>
      <c r="D128" s="6" t="s">
        <v>67</v>
      </c>
      <c r="E128" s="6">
        <v>7</v>
      </c>
    </row>
    <row r="129" spans="1:5" ht="15">
      <c r="A129" s="6"/>
      <c r="B129" s="6" t="s">
        <v>7</v>
      </c>
      <c r="C129" s="6" t="s">
        <v>8</v>
      </c>
      <c r="D129" s="6" t="s">
        <v>23</v>
      </c>
      <c r="E129" s="6">
        <v>3</v>
      </c>
    </row>
    <row r="130" spans="1:5" ht="15">
      <c r="A130" s="6"/>
      <c r="B130" s="6" t="s">
        <v>28</v>
      </c>
      <c r="C130" s="6" t="s">
        <v>8</v>
      </c>
      <c r="D130" s="6" t="s">
        <v>30</v>
      </c>
      <c r="E130" s="6">
        <v>5</v>
      </c>
    </row>
    <row r="131" spans="1:5" ht="15">
      <c r="A131" s="6"/>
      <c r="B131" s="6" t="s">
        <v>7</v>
      </c>
      <c r="C131" s="6" t="s">
        <v>26</v>
      </c>
      <c r="D131" s="6" t="s">
        <v>9</v>
      </c>
      <c r="E131" s="6">
        <v>3</v>
      </c>
    </row>
    <row r="132" ht="15">
      <c r="E132">
        <f>SUM(E6:E131)</f>
        <v>325</v>
      </c>
    </row>
    <row r="134" spans="13:16" ht="15.75">
      <c r="M134" s="2"/>
      <c r="N134" s="2"/>
      <c r="O134" s="2"/>
      <c r="P134" s="2"/>
    </row>
    <row r="135" spans="13:16" ht="15.75">
      <c r="M135" s="2"/>
      <c r="N135" s="2"/>
      <c r="O135" s="2"/>
      <c r="P135" s="2"/>
    </row>
    <row r="136" spans="13:16" ht="15.75">
      <c r="M136" s="2"/>
      <c r="N136" s="2"/>
      <c r="O136" s="2"/>
      <c r="P136" s="2"/>
    </row>
    <row r="137" spans="13:16" ht="15.75">
      <c r="M137" s="2"/>
      <c r="N137" s="2"/>
      <c r="O137" s="2"/>
      <c r="P137" s="2"/>
    </row>
    <row r="138" spans="13:16" ht="15.75">
      <c r="M138" s="2"/>
      <c r="N138" s="2"/>
      <c r="O138" s="2"/>
      <c r="P138" s="2"/>
    </row>
    <row r="139" spans="13:16" ht="15.75">
      <c r="M139" s="2"/>
      <c r="N139" s="2"/>
      <c r="O139" s="2"/>
      <c r="P139" s="2"/>
    </row>
    <row r="140" spans="13:16" ht="15.75">
      <c r="M140" s="2"/>
      <c r="N140" s="2"/>
      <c r="O140" s="2"/>
      <c r="P140" s="2"/>
    </row>
    <row r="141" spans="13:16" ht="15.75">
      <c r="M141" s="2"/>
      <c r="N141" s="2"/>
      <c r="O141" s="2"/>
      <c r="P141" s="2"/>
    </row>
    <row r="142" spans="13:16" ht="15.75">
      <c r="M142" s="2"/>
      <c r="N142" s="2"/>
      <c r="O142" s="2"/>
      <c r="P142" s="2"/>
    </row>
    <row r="143" spans="13:16" ht="15.75">
      <c r="M143" s="2"/>
      <c r="N143" s="2"/>
      <c r="O143" s="2"/>
      <c r="P143" s="2"/>
    </row>
    <row r="144" spans="13:16" ht="15.75">
      <c r="M144" s="2"/>
      <c r="N144" s="2"/>
      <c r="O144" s="2"/>
      <c r="P144" s="2"/>
    </row>
    <row r="145" spans="13:16" ht="15.75">
      <c r="M145" s="2"/>
      <c r="N145" s="2"/>
      <c r="O145" s="2"/>
      <c r="P145" s="2"/>
    </row>
    <row r="146" spans="13:16" ht="15.75">
      <c r="M146" s="2"/>
      <c r="N146" s="2"/>
      <c r="O146" s="2"/>
      <c r="P146" s="2"/>
    </row>
    <row r="147" spans="13:16" ht="15.75">
      <c r="M147" s="2"/>
      <c r="N147" s="2"/>
      <c r="O147" s="2"/>
      <c r="P147" s="2"/>
    </row>
    <row r="148" spans="13:16" ht="15.75">
      <c r="M148" s="2"/>
      <c r="N148" s="2"/>
      <c r="O148" s="2"/>
      <c r="P148" s="2"/>
    </row>
    <row r="149" spans="13:16" ht="15.75">
      <c r="M149" s="2"/>
      <c r="N149" s="2"/>
      <c r="O149" s="2"/>
      <c r="P149" s="2"/>
    </row>
    <row r="150" spans="13:16" ht="15.75">
      <c r="M150" s="2"/>
      <c r="N150" s="2"/>
      <c r="O150" s="2"/>
      <c r="P150" s="2"/>
    </row>
    <row r="151" spans="13:16" ht="15.75">
      <c r="M151" s="2"/>
      <c r="N151" s="2"/>
      <c r="O151" s="2"/>
      <c r="P151" s="2"/>
    </row>
    <row r="152" spans="13:16" ht="15.75">
      <c r="M152" s="2"/>
      <c r="N152" s="2"/>
      <c r="O152" s="2"/>
      <c r="P152" s="2"/>
    </row>
    <row r="153" spans="13:16" ht="15.75">
      <c r="M153" s="2"/>
      <c r="N153" s="2"/>
      <c r="O153" s="2"/>
      <c r="P153" s="2"/>
    </row>
    <row r="154" spans="13:16" ht="15.75">
      <c r="M154" s="2"/>
      <c r="N154" s="2"/>
      <c r="O154" s="2"/>
      <c r="P154" s="2"/>
    </row>
    <row r="155" spans="13:16" ht="15.75">
      <c r="M155" s="2"/>
      <c r="N155" s="2"/>
      <c r="O155" s="2"/>
      <c r="P155" s="2"/>
    </row>
    <row r="156" spans="13:16" ht="15.75">
      <c r="M156" s="2"/>
      <c r="N156" s="2"/>
      <c r="O156" s="2"/>
      <c r="P156" s="2"/>
    </row>
    <row r="157" spans="13:16" ht="15.75">
      <c r="M157" s="2"/>
      <c r="N157" s="2"/>
      <c r="O157" s="2"/>
      <c r="P157" s="2"/>
    </row>
    <row r="158" spans="13:16" ht="15.75">
      <c r="M158" s="2"/>
      <c r="N158" s="2"/>
      <c r="O158" s="2"/>
      <c r="P158" s="2"/>
    </row>
    <row r="159" spans="13:16" ht="15.75">
      <c r="M159" s="2"/>
      <c r="N159" s="2"/>
      <c r="O159" s="2"/>
      <c r="P159" s="2"/>
    </row>
    <row r="160" spans="7:16" ht="15.75">
      <c r="G160" s="2"/>
      <c r="H160" s="2"/>
      <c r="I160" s="2"/>
      <c r="J160" s="2"/>
      <c r="K160" s="2"/>
      <c r="M160" s="2"/>
      <c r="N160" s="2"/>
      <c r="O160" s="2"/>
      <c r="P160" s="2"/>
    </row>
    <row r="161" spans="7:16" ht="15.75">
      <c r="G161" s="60" t="s">
        <v>98</v>
      </c>
      <c r="H161" s="37" t="s">
        <v>6</v>
      </c>
      <c r="I161" s="37" t="s">
        <v>88</v>
      </c>
      <c r="J161" s="37" t="s">
        <v>3</v>
      </c>
      <c r="K161" s="37" t="s">
        <v>65</v>
      </c>
      <c r="L161" s="37" t="s">
        <v>66</v>
      </c>
      <c r="M161" s="28" t="s">
        <v>79</v>
      </c>
      <c r="N161" s="28" t="s">
        <v>81</v>
      </c>
      <c r="O161" s="28" t="s">
        <v>80</v>
      </c>
      <c r="P161" s="28" t="s">
        <v>100</v>
      </c>
    </row>
    <row r="162" spans="7:16" ht="15.75">
      <c r="G162" s="61">
        <v>1</v>
      </c>
      <c r="H162" s="59" t="s">
        <v>22</v>
      </c>
      <c r="I162" s="59" t="s">
        <v>89</v>
      </c>
      <c r="J162" s="59" t="s">
        <v>21</v>
      </c>
      <c r="K162" s="59" t="s">
        <v>9</v>
      </c>
      <c r="L162" s="83">
        <v>1</v>
      </c>
      <c r="M162" s="62">
        <f>L162/325</f>
        <v>0.003076923076923077</v>
      </c>
      <c r="N162" s="63">
        <f>LN(M162)</f>
        <v>-5.783825182329737</v>
      </c>
      <c r="O162" s="63">
        <f>M162*N162</f>
        <v>-0.017796385176399192</v>
      </c>
      <c r="P162" s="48">
        <f>M162^2</f>
        <v>9.467455621301774E-06</v>
      </c>
    </row>
    <row r="163" spans="7:16" ht="15.75">
      <c r="G163" s="18">
        <v>2</v>
      </c>
      <c r="H163" s="21" t="s">
        <v>19</v>
      </c>
      <c r="I163" s="21" t="s">
        <v>89</v>
      </c>
      <c r="J163" s="21" t="s">
        <v>21</v>
      </c>
      <c r="K163" s="8" t="s">
        <v>64</v>
      </c>
      <c r="L163" s="84">
        <v>3</v>
      </c>
      <c r="M163" s="19">
        <f aca="true" t="shared" si="1" ref="M163:M185">L163/325</f>
        <v>0.009230769230769232</v>
      </c>
      <c r="N163" s="20">
        <f aca="true" t="shared" si="2" ref="N163:N185">LN(M163)</f>
        <v>-4.685212893661627</v>
      </c>
      <c r="O163" s="20">
        <f aca="true" t="shared" si="3" ref="O163:O185">M163*N163</f>
        <v>-0.04324811901841503</v>
      </c>
      <c r="P163" s="35">
        <f aca="true" t="shared" si="4" ref="P163:P185">M163^2</f>
        <v>8.520710059171599E-05</v>
      </c>
    </row>
    <row r="164" spans="7:16" ht="15.75">
      <c r="G164" s="18">
        <v>3</v>
      </c>
      <c r="H164" s="8" t="s">
        <v>28</v>
      </c>
      <c r="I164" s="8" t="s">
        <v>89</v>
      </c>
      <c r="J164" s="8" t="s">
        <v>26</v>
      </c>
      <c r="K164" s="8" t="s">
        <v>9</v>
      </c>
      <c r="L164" s="84">
        <v>3</v>
      </c>
      <c r="M164" s="19">
        <f t="shared" si="1"/>
        <v>0.009230769230769232</v>
      </c>
      <c r="N164" s="20">
        <f t="shared" si="2"/>
        <v>-4.685212893661627</v>
      </c>
      <c r="O164" s="20">
        <f t="shared" si="3"/>
        <v>-0.04324811901841503</v>
      </c>
      <c r="P164" s="35">
        <f t="shared" si="4"/>
        <v>8.520710059171599E-05</v>
      </c>
    </row>
    <row r="165" spans="7:16" ht="15.75">
      <c r="G165" s="18">
        <v>4</v>
      </c>
      <c r="H165" s="8" t="s">
        <v>19</v>
      </c>
      <c r="I165" s="8" t="s">
        <v>91</v>
      </c>
      <c r="J165" s="8" t="s">
        <v>20</v>
      </c>
      <c r="K165" s="21" t="s">
        <v>9</v>
      </c>
      <c r="L165" s="84">
        <v>1</v>
      </c>
      <c r="M165" s="19">
        <f t="shared" si="1"/>
        <v>0.003076923076923077</v>
      </c>
      <c r="N165" s="20">
        <f t="shared" si="2"/>
        <v>-5.783825182329737</v>
      </c>
      <c r="O165" s="20">
        <f t="shared" si="3"/>
        <v>-0.017796385176399192</v>
      </c>
      <c r="P165" s="35">
        <f t="shared" si="4"/>
        <v>9.467455621301774E-06</v>
      </c>
    </row>
    <row r="166" spans="7:16" ht="15.75">
      <c r="G166" s="18">
        <v>5</v>
      </c>
      <c r="H166" s="8" t="s">
        <v>19</v>
      </c>
      <c r="I166" s="21" t="s">
        <v>91</v>
      </c>
      <c r="J166" s="8" t="s">
        <v>20</v>
      </c>
      <c r="K166" s="21" t="s">
        <v>16</v>
      </c>
      <c r="L166" s="84">
        <v>5</v>
      </c>
      <c r="M166" s="19">
        <f t="shared" si="1"/>
        <v>0.015384615384615385</v>
      </c>
      <c r="N166" s="20">
        <f t="shared" si="2"/>
        <v>-4.174387269895637</v>
      </c>
      <c r="O166" s="20">
        <f t="shared" si="3"/>
        <v>-0.06422134261377903</v>
      </c>
      <c r="P166" s="35">
        <f t="shared" si="4"/>
        <v>0.0002366863905325444</v>
      </c>
    </row>
    <row r="167" spans="7:16" ht="15.75">
      <c r="G167" s="18">
        <v>6</v>
      </c>
      <c r="H167" s="21" t="s">
        <v>7</v>
      </c>
      <c r="I167" s="21" t="s">
        <v>91</v>
      </c>
      <c r="J167" s="8" t="s">
        <v>8</v>
      </c>
      <c r="K167" s="8" t="s">
        <v>37</v>
      </c>
      <c r="L167" s="84">
        <v>36</v>
      </c>
      <c r="M167" s="19">
        <f t="shared" si="1"/>
        <v>0.11076923076923077</v>
      </c>
      <c r="N167" s="20">
        <f t="shared" si="2"/>
        <v>-2.2003062438736274</v>
      </c>
      <c r="O167" s="20">
        <f t="shared" si="3"/>
        <v>-0.2437262300906172</v>
      </c>
      <c r="P167" s="35">
        <f t="shared" si="4"/>
        <v>0.012269822485207102</v>
      </c>
    </row>
    <row r="168" spans="7:16" ht="15.75">
      <c r="G168" s="18">
        <v>7</v>
      </c>
      <c r="H168" s="21" t="s">
        <v>7</v>
      </c>
      <c r="I168" s="21" t="s">
        <v>91</v>
      </c>
      <c r="J168" s="8" t="s">
        <v>8</v>
      </c>
      <c r="K168" s="8" t="s">
        <v>34</v>
      </c>
      <c r="L168" s="84">
        <v>2</v>
      </c>
      <c r="M168" s="19">
        <f t="shared" si="1"/>
        <v>0.006153846153846154</v>
      </c>
      <c r="N168" s="20">
        <f t="shared" si="2"/>
        <v>-5.090678001769792</v>
      </c>
      <c r="O168" s="20">
        <f t="shared" si="3"/>
        <v>-0.031327249241660256</v>
      </c>
      <c r="P168" s="35">
        <f t="shared" si="4"/>
        <v>3.78698224852071E-05</v>
      </c>
    </row>
    <row r="169" spans="7:16" ht="15.75">
      <c r="G169" s="18">
        <v>8</v>
      </c>
      <c r="H169" s="21" t="s">
        <v>7</v>
      </c>
      <c r="I169" s="21" t="s">
        <v>91</v>
      </c>
      <c r="J169" s="8" t="s">
        <v>8</v>
      </c>
      <c r="K169" s="8" t="s">
        <v>18</v>
      </c>
      <c r="L169" s="84">
        <v>97</v>
      </c>
      <c r="M169" s="19">
        <f t="shared" si="1"/>
        <v>0.29846153846153844</v>
      </c>
      <c r="N169" s="20">
        <f t="shared" si="2"/>
        <v>-1.2091142038263547</v>
      </c>
      <c r="O169" s="20">
        <f t="shared" si="3"/>
        <v>-0.360874085449712</v>
      </c>
      <c r="P169" s="35">
        <f t="shared" si="4"/>
        <v>0.0890792899408284</v>
      </c>
    </row>
    <row r="170" spans="7:16" ht="15.75">
      <c r="G170" s="18">
        <v>9</v>
      </c>
      <c r="H170" s="8" t="s">
        <v>28</v>
      </c>
      <c r="I170" s="8" t="s">
        <v>91</v>
      </c>
      <c r="J170" s="8" t="s">
        <v>8</v>
      </c>
      <c r="K170" s="8" t="s">
        <v>30</v>
      </c>
      <c r="L170" s="84">
        <v>59</v>
      </c>
      <c r="M170" s="19">
        <f t="shared" si="1"/>
        <v>0.18153846153846154</v>
      </c>
      <c r="N170" s="20">
        <f t="shared" si="2"/>
        <v>-1.706287738424018</v>
      </c>
      <c r="O170" s="20">
        <f t="shared" si="3"/>
        <v>-0.3097568509754371</v>
      </c>
      <c r="P170" s="35">
        <f t="shared" si="4"/>
        <v>0.03295621301775148</v>
      </c>
    </row>
    <row r="171" spans="7:16" ht="15.75">
      <c r="G171" s="18">
        <v>10</v>
      </c>
      <c r="H171" s="8" t="s">
        <v>7</v>
      </c>
      <c r="I171" s="21" t="s">
        <v>91</v>
      </c>
      <c r="J171" s="8" t="s">
        <v>8</v>
      </c>
      <c r="K171" s="21" t="s">
        <v>9</v>
      </c>
      <c r="L171" s="84">
        <v>13</v>
      </c>
      <c r="M171" s="19">
        <f t="shared" si="1"/>
        <v>0.04</v>
      </c>
      <c r="N171" s="20">
        <f t="shared" si="2"/>
        <v>-3.2188758248682006</v>
      </c>
      <c r="O171" s="20">
        <f t="shared" si="3"/>
        <v>-0.128755032994728</v>
      </c>
      <c r="P171" s="35">
        <f t="shared" si="4"/>
        <v>0.0016</v>
      </c>
    </row>
    <row r="172" spans="7:16" ht="15.75">
      <c r="G172" s="18">
        <v>11</v>
      </c>
      <c r="H172" s="8" t="s">
        <v>7</v>
      </c>
      <c r="I172" s="21" t="s">
        <v>91</v>
      </c>
      <c r="J172" s="8" t="s">
        <v>8</v>
      </c>
      <c r="K172" s="21" t="s">
        <v>16</v>
      </c>
      <c r="L172" s="84">
        <v>2</v>
      </c>
      <c r="M172" s="19">
        <f t="shared" si="1"/>
        <v>0.006153846153846154</v>
      </c>
      <c r="N172" s="20">
        <f t="shared" si="2"/>
        <v>-5.090678001769792</v>
      </c>
      <c r="O172" s="20">
        <f t="shared" si="3"/>
        <v>-0.031327249241660256</v>
      </c>
      <c r="P172" s="35">
        <f t="shared" si="4"/>
        <v>3.78698224852071E-05</v>
      </c>
    </row>
    <row r="173" spans="7:16" ht="15.75">
      <c r="G173" s="18">
        <v>12</v>
      </c>
      <c r="H173" s="8" t="s">
        <v>7</v>
      </c>
      <c r="I173" s="21" t="s">
        <v>91</v>
      </c>
      <c r="J173" s="8" t="s">
        <v>8</v>
      </c>
      <c r="K173" s="21" t="s">
        <v>23</v>
      </c>
      <c r="L173" s="84">
        <v>5</v>
      </c>
      <c r="M173" s="19">
        <f t="shared" si="1"/>
        <v>0.015384615384615385</v>
      </c>
      <c r="N173" s="20">
        <f t="shared" si="2"/>
        <v>-4.174387269895637</v>
      </c>
      <c r="O173" s="20">
        <f t="shared" si="3"/>
        <v>-0.06422134261377903</v>
      </c>
      <c r="P173" s="35">
        <f t="shared" si="4"/>
        <v>0.0002366863905325444</v>
      </c>
    </row>
    <row r="174" spans="7:16" ht="15.75">
      <c r="G174" s="18">
        <v>13</v>
      </c>
      <c r="H174" s="8" t="s">
        <v>7</v>
      </c>
      <c r="I174" s="21" t="s">
        <v>91</v>
      </c>
      <c r="J174" s="8" t="s">
        <v>8</v>
      </c>
      <c r="K174" s="21" t="s">
        <v>31</v>
      </c>
      <c r="L174" s="84">
        <v>1</v>
      </c>
      <c r="M174" s="19">
        <f t="shared" si="1"/>
        <v>0.003076923076923077</v>
      </c>
      <c r="N174" s="20">
        <f t="shared" si="2"/>
        <v>-5.783825182329737</v>
      </c>
      <c r="O174" s="20">
        <f t="shared" si="3"/>
        <v>-0.017796385176399192</v>
      </c>
      <c r="P174" s="35">
        <f t="shared" si="4"/>
        <v>9.467455621301774E-06</v>
      </c>
    </row>
    <row r="175" spans="7:16" ht="15.75">
      <c r="G175" s="18">
        <v>14</v>
      </c>
      <c r="H175" s="8" t="s">
        <v>7</v>
      </c>
      <c r="I175" s="21" t="s">
        <v>91</v>
      </c>
      <c r="J175" s="8" t="s">
        <v>14</v>
      </c>
      <c r="K175" s="21" t="s">
        <v>9</v>
      </c>
      <c r="L175" s="84">
        <v>2</v>
      </c>
      <c r="M175" s="19">
        <f t="shared" si="1"/>
        <v>0.006153846153846154</v>
      </c>
      <c r="N175" s="20">
        <f t="shared" si="2"/>
        <v>-5.090678001769792</v>
      </c>
      <c r="O175" s="20">
        <f t="shared" si="3"/>
        <v>-0.031327249241660256</v>
      </c>
      <c r="P175" s="35">
        <f t="shared" si="4"/>
        <v>3.78698224852071E-05</v>
      </c>
    </row>
    <row r="176" spans="7:16" ht="15.75">
      <c r="G176" s="18">
        <v>15</v>
      </c>
      <c r="H176" s="8" t="s">
        <v>7</v>
      </c>
      <c r="I176" s="21" t="s">
        <v>91</v>
      </c>
      <c r="J176" s="8" t="s">
        <v>14</v>
      </c>
      <c r="K176" s="21" t="s">
        <v>16</v>
      </c>
      <c r="L176" s="84">
        <v>4</v>
      </c>
      <c r="M176" s="19">
        <f t="shared" si="1"/>
        <v>0.012307692307692308</v>
      </c>
      <c r="N176" s="20">
        <f t="shared" si="2"/>
        <v>-4.3975308212098465</v>
      </c>
      <c r="O176" s="20">
        <f t="shared" si="3"/>
        <v>-0.05412345626104426</v>
      </c>
      <c r="P176" s="35">
        <f t="shared" si="4"/>
        <v>0.0001514792899408284</v>
      </c>
    </row>
    <row r="177" spans="7:16" ht="15.75">
      <c r="G177" s="18">
        <v>16</v>
      </c>
      <c r="H177" s="8" t="s">
        <v>7</v>
      </c>
      <c r="I177" s="21" t="s">
        <v>91</v>
      </c>
      <c r="J177" s="8" t="s">
        <v>14</v>
      </c>
      <c r="K177" s="21" t="s">
        <v>23</v>
      </c>
      <c r="L177" s="84">
        <v>1</v>
      </c>
      <c r="M177" s="19">
        <f t="shared" si="1"/>
        <v>0.003076923076923077</v>
      </c>
      <c r="N177" s="20">
        <f t="shared" si="2"/>
        <v>-5.783825182329737</v>
      </c>
      <c r="O177" s="20">
        <f t="shared" si="3"/>
        <v>-0.017796385176399192</v>
      </c>
      <c r="P177" s="35">
        <f t="shared" si="4"/>
        <v>9.467455621301774E-06</v>
      </c>
    </row>
    <row r="178" spans="7:16" ht="15.75">
      <c r="G178" s="18">
        <v>17</v>
      </c>
      <c r="H178" s="8" t="s">
        <v>7</v>
      </c>
      <c r="I178" s="21" t="s">
        <v>91</v>
      </c>
      <c r="J178" s="8" t="s">
        <v>14</v>
      </c>
      <c r="K178" s="21" t="s">
        <v>31</v>
      </c>
      <c r="L178" s="84">
        <v>13</v>
      </c>
      <c r="M178" s="19">
        <f t="shared" si="1"/>
        <v>0.04</v>
      </c>
      <c r="N178" s="20">
        <f t="shared" si="2"/>
        <v>-3.2188758248682006</v>
      </c>
      <c r="O178" s="20">
        <f t="shared" si="3"/>
        <v>-0.128755032994728</v>
      </c>
      <c r="P178" s="35">
        <f t="shared" si="4"/>
        <v>0.0016</v>
      </c>
    </row>
    <row r="179" spans="7:16" ht="15.75">
      <c r="G179" s="18">
        <v>18</v>
      </c>
      <c r="H179" s="8" t="s">
        <v>7</v>
      </c>
      <c r="I179" s="21" t="s">
        <v>91</v>
      </c>
      <c r="J179" s="8" t="s">
        <v>12</v>
      </c>
      <c r="K179" s="8" t="s">
        <v>55</v>
      </c>
      <c r="L179" s="84">
        <v>3</v>
      </c>
      <c r="M179" s="19">
        <f t="shared" si="1"/>
        <v>0.009230769230769232</v>
      </c>
      <c r="N179" s="20">
        <f t="shared" si="2"/>
        <v>-4.685212893661627</v>
      </c>
      <c r="O179" s="20">
        <f t="shared" si="3"/>
        <v>-0.04324811901841503</v>
      </c>
      <c r="P179" s="35">
        <f t="shared" si="4"/>
        <v>8.520710059171599E-05</v>
      </c>
    </row>
    <row r="180" spans="7:16" ht="15.75">
      <c r="G180" s="18">
        <v>19</v>
      </c>
      <c r="H180" s="8" t="s">
        <v>7</v>
      </c>
      <c r="I180" s="21" t="s">
        <v>91</v>
      </c>
      <c r="J180" s="8" t="s">
        <v>12</v>
      </c>
      <c r="K180" s="8" t="s">
        <v>13</v>
      </c>
      <c r="L180" s="84">
        <v>34</v>
      </c>
      <c r="M180" s="19">
        <f t="shared" si="1"/>
        <v>0.10461538461538461</v>
      </c>
      <c r="N180" s="20">
        <f t="shared" si="2"/>
        <v>-2.257464657713576</v>
      </c>
      <c r="O180" s="20">
        <f t="shared" si="3"/>
        <v>-0.23616553342234334</v>
      </c>
      <c r="P180" s="35">
        <f t="shared" si="4"/>
        <v>0.01094437869822485</v>
      </c>
    </row>
    <row r="181" spans="7:16" ht="15.75">
      <c r="G181" s="18">
        <v>20</v>
      </c>
      <c r="H181" s="8" t="s">
        <v>7</v>
      </c>
      <c r="I181" s="21" t="s">
        <v>91</v>
      </c>
      <c r="J181" s="8" t="s">
        <v>36</v>
      </c>
      <c r="K181" s="21" t="s">
        <v>67</v>
      </c>
      <c r="L181" s="84">
        <v>4</v>
      </c>
      <c r="M181" s="19">
        <f t="shared" si="1"/>
        <v>0.012307692307692308</v>
      </c>
      <c r="N181" s="20">
        <f t="shared" si="2"/>
        <v>-4.3975308212098465</v>
      </c>
      <c r="O181" s="20">
        <f t="shared" si="3"/>
        <v>-0.05412345626104426</v>
      </c>
      <c r="P181" s="35">
        <f t="shared" si="4"/>
        <v>0.0001514792899408284</v>
      </c>
    </row>
    <row r="182" spans="7:16" ht="15.75">
      <c r="G182" s="18">
        <v>21</v>
      </c>
      <c r="H182" s="21" t="s">
        <v>28</v>
      </c>
      <c r="I182" s="8" t="s">
        <v>92</v>
      </c>
      <c r="J182" s="8" t="s">
        <v>59</v>
      </c>
      <c r="K182" s="8" t="s">
        <v>67</v>
      </c>
      <c r="L182" s="84">
        <v>1</v>
      </c>
      <c r="M182" s="19">
        <f t="shared" si="1"/>
        <v>0.003076923076923077</v>
      </c>
      <c r="N182" s="20">
        <f t="shared" si="2"/>
        <v>-5.783825182329737</v>
      </c>
      <c r="O182" s="20">
        <f t="shared" si="3"/>
        <v>-0.017796385176399192</v>
      </c>
      <c r="P182" s="35">
        <f t="shared" si="4"/>
        <v>9.467455621301774E-06</v>
      </c>
    </row>
    <row r="183" spans="7:16" ht="15.75">
      <c r="G183" s="18">
        <v>22</v>
      </c>
      <c r="H183" s="8" t="s">
        <v>7</v>
      </c>
      <c r="I183" s="8" t="s">
        <v>94</v>
      </c>
      <c r="J183" s="8" t="s">
        <v>57</v>
      </c>
      <c r="K183" s="8" t="s">
        <v>58</v>
      </c>
      <c r="L183" s="84">
        <v>3</v>
      </c>
      <c r="M183" s="19">
        <f t="shared" si="1"/>
        <v>0.009230769230769232</v>
      </c>
      <c r="N183" s="20">
        <f t="shared" si="2"/>
        <v>-4.685212893661627</v>
      </c>
      <c r="O183" s="20">
        <f t="shared" si="3"/>
        <v>-0.04324811901841503</v>
      </c>
      <c r="P183" s="35">
        <f t="shared" si="4"/>
        <v>8.520710059171599E-05</v>
      </c>
    </row>
    <row r="184" spans="7:16" ht="15.75">
      <c r="G184" s="18">
        <v>23</v>
      </c>
      <c r="H184" s="21" t="s">
        <v>22</v>
      </c>
      <c r="I184" s="8" t="s">
        <v>95</v>
      </c>
      <c r="J184" s="8" t="s">
        <v>25</v>
      </c>
      <c r="K184" s="8" t="s">
        <v>69</v>
      </c>
      <c r="L184" s="84">
        <v>4</v>
      </c>
      <c r="M184" s="19">
        <f t="shared" si="1"/>
        <v>0.012307692307692308</v>
      </c>
      <c r="N184" s="20">
        <f t="shared" si="2"/>
        <v>-4.3975308212098465</v>
      </c>
      <c r="O184" s="20">
        <f t="shared" si="3"/>
        <v>-0.05412345626104426</v>
      </c>
      <c r="P184" s="35">
        <f t="shared" si="4"/>
        <v>0.0001514792899408284</v>
      </c>
    </row>
    <row r="185" spans="7:16" ht="15.75">
      <c r="G185" s="18">
        <v>24</v>
      </c>
      <c r="H185" s="8" t="s">
        <v>19</v>
      </c>
      <c r="I185" s="8" t="s">
        <v>93</v>
      </c>
      <c r="J185" s="8" t="s">
        <v>11</v>
      </c>
      <c r="K185" s="8" t="s">
        <v>67</v>
      </c>
      <c r="L185" s="84">
        <v>28</v>
      </c>
      <c r="M185" s="19">
        <f t="shared" si="1"/>
        <v>0.08615384615384615</v>
      </c>
      <c r="N185" s="20">
        <f t="shared" si="2"/>
        <v>-2.4516206721545335</v>
      </c>
      <c r="O185" s="20">
        <f t="shared" si="3"/>
        <v>-0.21121655021639058</v>
      </c>
      <c r="P185" s="35">
        <f t="shared" si="4"/>
        <v>0.007422485207100591</v>
      </c>
    </row>
    <row r="186" spans="7:16" ht="15.75">
      <c r="G186" s="165" t="s">
        <v>82</v>
      </c>
      <c r="H186" s="165"/>
      <c r="I186" s="165"/>
      <c r="J186" s="165"/>
      <c r="K186" s="165"/>
      <c r="L186" s="83">
        <f>SUM(L162:L185)</f>
        <v>325</v>
      </c>
      <c r="M186" s="47"/>
      <c r="N186" s="47"/>
      <c r="O186" s="90">
        <f>SUM(O162:O185)</f>
        <v>-2.2660185198352836</v>
      </c>
      <c r="P186" s="62">
        <f>SUM(P162:P185)</f>
        <v>0.15730177514792895</v>
      </c>
    </row>
    <row r="187" spans="7:16" ht="15.75">
      <c r="G187" s="166" t="s">
        <v>83</v>
      </c>
      <c r="H187" s="166"/>
      <c r="I187" s="166"/>
      <c r="J187" s="166"/>
      <c r="K187" s="166"/>
      <c r="L187" s="38"/>
      <c r="M187" s="39"/>
      <c r="N187" s="39"/>
      <c r="O187" s="40">
        <f>-(O186)</f>
        <v>2.2660185198352836</v>
      </c>
      <c r="P187" s="39"/>
    </row>
    <row r="188" spans="7:16" ht="15.75">
      <c r="G188" s="167" t="s">
        <v>84</v>
      </c>
      <c r="H188" s="167"/>
      <c r="I188" s="167"/>
      <c r="J188" s="167"/>
      <c r="K188" s="167"/>
      <c r="L188" s="41"/>
      <c r="M188" s="42"/>
      <c r="N188" s="42"/>
      <c r="O188" s="43">
        <f>O187/LN(12)</f>
        <v>0.9119129364592464</v>
      </c>
      <c r="P188" s="42"/>
    </row>
    <row r="189" spans="7:16" ht="15.75">
      <c r="G189" s="168" t="s">
        <v>85</v>
      </c>
      <c r="H189" s="168"/>
      <c r="I189" s="168"/>
      <c r="J189" s="168"/>
      <c r="K189" s="168"/>
      <c r="L189" s="44"/>
      <c r="M189" s="45"/>
      <c r="N189" s="45"/>
      <c r="O189" s="46">
        <f>P186</f>
        <v>0.15730177514792895</v>
      </c>
      <c r="P189" s="45"/>
    </row>
  </sheetData>
  <mergeCells count="7">
    <mergeCell ref="G189:K189"/>
    <mergeCell ref="G186:K186"/>
    <mergeCell ref="A1:C1"/>
    <mergeCell ref="A2:B2"/>
    <mergeCell ref="A3:B3"/>
    <mergeCell ref="G187:K187"/>
    <mergeCell ref="G188:K18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2"/>
  <sheetViews>
    <sheetView zoomScale="80" zoomScaleNormal="80" workbookViewId="0" topLeftCell="E1">
      <pane ySplit="2055" topLeftCell="A144" activePane="bottomLeft" state="split"/>
      <selection pane="topLeft" activeCell="E1" sqref="E1"/>
      <selection pane="bottomLeft" activeCell="G140" sqref="G140:P161"/>
    </sheetView>
  </sheetViews>
  <sheetFormatPr defaultColWidth="9.140625" defaultRowHeight="15"/>
  <cols>
    <col min="2" max="2" width="22.57421875" style="0" customWidth="1"/>
    <col min="3" max="3" width="29.421875" style="0" customWidth="1"/>
    <col min="4" max="4" width="27.140625" style="0" customWidth="1"/>
    <col min="5" max="5" width="14.00390625" style="0" customWidth="1"/>
    <col min="6" max="6" width="16.00390625" style="0" customWidth="1"/>
    <col min="8" max="8" width="14.140625" style="0" customWidth="1"/>
    <col min="9" max="9" width="14.57421875" style="0" customWidth="1"/>
    <col min="10" max="10" width="22.8515625" style="0" customWidth="1"/>
    <col min="11" max="11" width="25.7109375" style="0" customWidth="1"/>
    <col min="12" max="12" width="22.00390625" style="0" customWidth="1"/>
  </cols>
  <sheetData>
    <row r="1" spans="1:9" ht="15.75">
      <c r="A1" s="169" t="s">
        <v>50</v>
      </c>
      <c r="B1" s="169"/>
      <c r="C1" s="169"/>
      <c r="D1" s="8" t="s">
        <v>61</v>
      </c>
      <c r="E1" s="7" t="s">
        <v>41</v>
      </c>
      <c r="F1" s="7" t="s">
        <v>51</v>
      </c>
      <c r="I1" s="13" t="s">
        <v>72</v>
      </c>
    </row>
    <row r="2" spans="1:9" ht="15.75">
      <c r="A2" s="169" t="s">
        <v>1</v>
      </c>
      <c r="B2" s="169"/>
      <c r="C2" s="10" t="s">
        <v>53</v>
      </c>
      <c r="D2" s="8"/>
      <c r="E2" s="7" t="s">
        <v>42</v>
      </c>
      <c r="F2" s="7" t="s">
        <v>52</v>
      </c>
      <c r="I2" s="13" t="s">
        <v>75</v>
      </c>
    </row>
    <row r="3" spans="1:6" ht="15.75">
      <c r="A3" s="169" t="s">
        <v>45</v>
      </c>
      <c r="B3" s="169"/>
      <c r="C3" s="8">
        <v>3</v>
      </c>
      <c r="D3" s="8"/>
      <c r="E3" s="10"/>
      <c r="F3" s="10"/>
    </row>
    <row r="5" spans="1:39" s="109" customFormat="1" ht="51">
      <c r="A5" s="122" t="s">
        <v>2</v>
      </c>
      <c r="B5" s="122" t="s">
        <v>6</v>
      </c>
      <c r="C5" s="122" t="s">
        <v>3</v>
      </c>
      <c r="D5" s="122" t="s">
        <v>4</v>
      </c>
      <c r="E5" s="122" t="s">
        <v>5</v>
      </c>
      <c r="H5" s="102" t="s">
        <v>130</v>
      </c>
      <c r="I5" s="110" t="s">
        <v>101</v>
      </c>
      <c r="J5" s="110" t="s">
        <v>112</v>
      </c>
      <c r="K5" s="111" t="s">
        <v>64</v>
      </c>
      <c r="L5" s="111" t="s">
        <v>102</v>
      </c>
      <c r="M5" s="110" t="s">
        <v>113</v>
      </c>
      <c r="N5" s="111" t="s">
        <v>114</v>
      </c>
      <c r="O5" s="110" t="s">
        <v>103</v>
      </c>
      <c r="P5" s="110" t="s">
        <v>104</v>
      </c>
      <c r="Q5" s="111" t="s">
        <v>37</v>
      </c>
      <c r="R5" s="111" t="s">
        <v>34</v>
      </c>
      <c r="S5" s="111" t="s">
        <v>18</v>
      </c>
      <c r="T5" s="111" t="s">
        <v>30</v>
      </c>
      <c r="U5" s="110" t="s">
        <v>68</v>
      </c>
      <c r="V5" s="110" t="s">
        <v>115</v>
      </c>
      <c r="W5" s="110" t="s">
        <v>116</v>
      </c>
      <c r="X5" s="110" t="s">
        <v>117</v>
      </c>
      <c r="Y5" s="110" t="s">
        <v>118</v>
      </c>
      <c r="Z5" s="110" t="s">
        <v>119</v>
      </c>
      <c r="AA5" s="110" t="s">
        <v>120</v>
      </c>
      <c r="AB5" s="110" t="s">
        <v>121</v>
      </c>
      <c r="AC5" s="111" t="s">
        <v>55</v>
      </c>
      <c r="AD5" s="111" t="s">
        <v>13</v>
      </c>
      <c r="AE5" s="110" t="s">
        <v>122</v>
      </c>
      <c r="AF5" s="112" t="s">
        <v>97</v>
      </c>
      <c r="AG5" s="111" t="s">
        <v>123</v>
      </c>
      <c r="AH5" s="111" t="s">
        <v>58</v>
      </c>
      <c r="AI5" s="111" t="s">
        <v>69</v>
      </c>
      <c r="AJ5" s="111" t="s">
        <v>124</v>
      </c>
      <c r="AK5" s="110" t="s">
        <v>125</v>
      </c>
      <c r="AL5" s="111" t="s">
        <v>60</v>
      </c>
      <c r="AM5" s="113" t="s">
        <v>126</v>
      </c>
    </row>
    <row r="6" spans="1:39" ht="15.75">
      <c r="A6" s="15">
        <v>1</v>
      </c>
      <c r="B6" s="15" t="s">
        <v>7</v>
      </c>
      <c r="C6" s="15" t="s">
        <v>26</v>
      </c>
      <c r="D6" s="15" t="s">
        <v>9</v>
      </c>
      <c r="E6" s="15">
        <v>8</v>
      </c>
      <c r="H6">
        <v>1</v>
      </c>
      <c r="I6">
        <v>0</v>
      </c>
      <c r="J6">
        <v>0</v>
      </c>
      <c r="K6">
        <v>0</v>
      </c>
      <c r="L6">
        <v>8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</row>
    <row r="7" spans="1:39" ht="15.75">
      <c r="A7" s="15"/>
      <c r="B7" s="15" t="s">
        <v>7</v>
      </c>
      <c r="C7" s="15" t="s">
        <v>8</v>
      </c>
      <c r="D7" s="15" t="s">
        <v>9</v>
      </c>
      <c r="E7" s="15">
        <v>1</v>
      </c>
      <c r="H7">
        <v>2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6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5.75">
      <c r="A8" s="15"/>
      <c r="B8" s="15" t="s">
        <v>7</v>
      </c>
      <c r="C8" s="15" t="s">
        <v>8</v>
      </c>
      <c r="D8" s="15" t="s">
        <v>16</v>
      </c>
      <c r="E8" s="15">
        <v>1</v>
      </c>
      <c r="H8">
        <v>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4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5.75">
      <c r="A9" s="15">
        <v>2</v>
      </c>
      <c r="B9" s="15" t="s">
        <v>7</v>
      </c>
      <c r="C9" s="15" t="s">
        <v>26</v>
      </c>
      <c r="D9" s="15" t="s">
        <v>9</v>
      </c>
      <c r="E9" s="15">
        <v>1</v>
      </c>
      <c r="H9">
        <v>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</row>
    <row r="10" spans="1:39" ht="15.75">
      <c r="A10" s="15"/>
      <c r="B10" s="15" t="s">
        <v>7</v>
      </c>
      <c r="C10" s="15" t="s">
        <v>27</v>
      </c>
      <c r="D10" s="15" t="s">
        <v>13</v>
      </c>
      <c r="E10" s="15">
        <v>6</v>
      </c>
      <c r="H10">
        <v>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0</v>
      </c>
      <c r="AK10">
        <v>0</v>
      </c>
      <c r="AL10">
        <v>12</v>
      </c>
      <c r="AM10">
        <v>0</v>
      </c>
    </row>
    <row r="11" spans="1:39" ht="15.75">
      <c r="A11" s="15">
        <v>3</v>
      </c>
      <c r="B11" s="15" t="s">
        <v>7</v>
      </c>
      <c r="C11" s="15" t="s">
        <v>8</v>
      </c>
      <c r="D11" s="15" t="s">
        <v>9</v>
      </c>
      <c r="E11" s="15">
        <v>4</v>
      </c>
      <c r="H11">
        <v>6</v>
      </c>
      <c r="I11">
        <v>0</v>
      </c>
      <c r="J11">
        <v>0</v>
      </c>
      <c r="K11">
        <v>0</v>
      </c>
      <c r="L11">
        <v>1</v>
      </c>
      <c r="M11">
        <v>0</v>
      </c>
      <c r="N11">
        <v>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5.75">
      <c r="A12" s="15">
        <v>4</v>
      </c>
      <c r="B12" s="15" t="s">
        <v>7</v>
      </c>
      <c r="C12" s="15" t="s">
        <v>8</v>
      </c>
      <c r="D12" s="15" t="s">
        <v>9</v>
      </c>
      <c r="E12" s="15">
        <v>1</v>
      </c>
      <c r="H12">
        <v>7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3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5.75">
      <c r="A13" s="15"/>
      <c r="B13" s="15" t="s">
        <v>7</v>
      </c>
      <c r="C13" s="15" t="s">
        <v>8</v>
      </c>
      <c r="D13" s="15" t="s">
        <v>9</v>
      </c>
      <c r="E13" s="15">
        <v>1</v>
      </c>
      <c r="H13">
        <v>8</v>
      </c>
      <c r="I13">
        <v>0</v>
      </c>
      <c r="J13">
        <v>0</v>
      </c>
      <c r="K13">
        <v>0</v>
      </c>
      <c r="L13">
        <v>0</v>
      </c>
      <c r="M13">
        <v>4</v>
      </c>
      <c r="N13">
        <v>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5.75">
      <c r="A14" s="15">
        <v>5</v>
      </c>
      <c r="B14" s="15" t="s">
        <v>22</v>
      </c>
      <c r="C14" s="15" t="s">
        <v>11</v>
      </c>
      <c r="D14" s="15" t="s">
        <v>60</v>
      </c>
      <c r="E14" s="15">
        <v>12</v>
      </c>
      <c r="H14">
        <v>9</v>
      </c>
      <c r="I14">
        <v>0</v>
      </c>
      <c r="J14">
        <v>0</v>
      </c>
      <c r="K14">
        <v>0</v>
      </c>
      <c r="L14">
        <v>0</v>
      </c>
      <c r="M14">
        <v>0</v>
      </c>
      <c r="N14">
        <v>3</v>
      </c>
      <c r="O14">
        <v>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5.75">
      <c r="A15" s="15"/>
      <c r="B15" s="15" t="s">
        <v>22</v>
      </c>
      <c r="C15" s="15" t="s">
        <v>25</v>
      </c>
      <c r="D15" s="16" t="s">
        <v>69</v>
      </c>
      <c r="E15" s="15">
        <v>1</v>
      </c>
      <c r="H15">
        <v>10</v>
      </c>
      <c r="I15">
        <v>0</v>
      </c>
      <c r="J15">
        <v>0</v>
      </c>
      <c r="K15">
        <v>0</v>
      </c>
      <c r="L15">
        <v>0</v>
      </c>
      <c r="M15">
        <v>0</v>
      </c>
      <c r="N15">
        <v>3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</row>
    <row r="16" spans="1:39" ht="15.75">
      <c r="A16" s="15">
        <v>6</v>
      </c>
      <c r="B16" s="15" t="s">
        <v>7</v>
      </c>
      <c r="C16" s="15" t="s">
        <v>8</v>
      </c>
      <c r="D16" s="15" t="s">
        <v>9</v>
      </c>
      <c r="E16" s="15">
        <v>1</v>
      </c>
      <c r="H16">
        <v>11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5.75">
      <c r="A17" s="15"/>
      <c r="B17" s="15" t="s">
        <v>19</v>
      </c>
      <c r="C17" s="15" t="s">
        <v>29</v>
      </c>
      <c r="D17" s="15" t="s">
        <v>67</v>
      </c>
      <c r="E17" s="15">
        <v>2</v>
      </c>
      <c r="H17">
        <v>12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</row>
    <row r="18" spans="1:39" ht="15.75">
      <c r="A18" s="15"/>
      <c r="B18" s="15" t="s">
        <v>7</v>
      </c>
      <c r="C18" s="15" t="s">
        <v>26</v>
      </c>
      <c r="D18" s="15" t="s">
        <v>9</v>
      </c>
      <c r="E18" s="15">
        <v>1</v>
      </c>
      <c r="H18">
        <v>13</v>
      </c>
      <c r="I18">
        <v>0</v>
      </c>
      <c r="J18">
        <v>0</v>
      </c>
      <c r="K18">
        <v>0</v>
      </c>
      <c r="L18">
        <v>0</v>
      </c>
      <c r="M18">
        <v>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</row>
    <row r="19" spans="1:39" ht="15.75">
      <c r="A19" s="15"/>
      <c r="B19" s="15" t="s">
        <v>7</v>
      </c>
      <c r="C19" s="15" t="s">
        <v>8</v>
      </c>
      <c r="D19" s="15" t="s">
        <v>16</v>
      </c>
      <c r="E19" s="15">
        <v>1</v>
      </c>
      <c r="H19">
        <v>14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1</v>
      </c>
      <c r="P19">
        <v>0</v>
      </c>
      <c r="Q19">
        <v>3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</row>
    <row r="20" spans="1:39" ht="15.75">
      <c r="A20" s="15">
        <v>7</v>
      </c>
      <c r="B20" s="15" t="s">
        <v>7</v>
      </c>
      <c r="C20" s="15" t="s">
        <v>8</v>
      </c>
      <c r="D20" s="15" t="s">
        <v>16</v>
      </c>
      <c r="E20" s="15">
        <v>3</v>
      </c>
      <c r="H20">
        <v>15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</row>
    <row r="21" spans="1:39" ht="15.75">
      <c r="A21" s="15">
        <v>8</v>
      </c>
      <c r="B21" s="15" t="s">
        <v>19</v>
      </c>
      <c r="C21" s="15" t="s">
        <v>26</v>
      </c>
      <c r="D21" s="15" t="s">
        <v>16</v>
      </c>
      <c r="E21" s="15">
        <v>4</v>
      </c>
      <c r="H21">
        <v>16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</row>
    <row r="22" spans="1:39" ht="15.75">
      <c r="A22" s="15"/>
      <c r="B22" s="15" t="s">
        <v>19</v>
      </c>
      <c r="C22" s="15" t="s">
        <v>29</v>
      </c>
      <c r="D22" s="15" t="s">
        <v>67</v>
      </c>
      <c r="E22" s="15">
        <v>4</v>
      </c>
      <c r="H22">
        <v>17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</row>
    <row r="23" spans="1:39" ht="15.75">
      <c r="A23" s="15">
        <v>9</v>
      </c>
      <c r="B23" s="15" t="s">
        <v>19</v>
      </c>
      <c r="C23" s="15" t="s">
        <v>20</v>
      </c>
      <c r="D23" s="15" t="s">
        <v>9</v>
      </c>
      <c r="E23" s="15">
        <v>2</v>
      </c>
      <c r="H23">
        <v>18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</row>
    <row r="24" spans="1:39" ht="15.75">
      <c r="A24" s="15"/>
      <c r="B24" s="15" t="s">
        <v>19</v>
      </c>
      <c r="C24" s="15" t="s">
        <v>29</v>
      </c>
      <c r="D24" s="15" t="s">
        <v>67</v>
      </c>
      <c r="E24" s="15">
        <v>3</v>
      </c>
      <c r="H24">
        <v>19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</row>
    <row r="25" spans="1:39" ht="15.75">
      <c r="A25" s="15">
        <v>10</v>
      </c>
      <c r="B25" s="15" t="s">
        <v>19</v>
      </c>
      <c r="C25" s="15" t="s">
        <v>29</v>
      </c>
      <c r="D25" s="15" t="s">
        <v>67</v>
      </c>
      <c r="E25" s="15">
        <v>3</v>
      </c>
      <c r="H25">
        <v>20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5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1</v>
      </c>
    </row>
    <row r="26" spans="1:39" ht="15.75">
      <c r="A26" s="15">
        <v>11</v>
      </c>
      <c r="B26" s="15" t="s">
        <v>19</v>
      </c>
      <c r="C26" s="15" t="s">
        <v>29</v>
      </c>
      <c r="D26" s="15" t="s">
        <v>67</v>
      </c>
      <c r="E26" s="15">
        <v>1</v>
      </c>
      <c r="H26">
        <v>21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8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</row>
    <row r="27" spans="1:39" ht="15.75">
      <c r="A27" s="15">
        <v>12</v>
      </c>
      <c r="B27" s="15" t="s">
        <v>19</v>
      </c>
      <c r="C27" s="15" t="s">
        <v>20</v>
      </c>
      <c r="D27" s="15" t="s">
        <v>9</v>
      </c>
      <c r="E27" s="15">
        <v>6</v>
      </c>
      <c r="H27">
        <v>22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5</v>
      </c>
    </row>
    <row r="28" spans="1:39" ht="15.75">
      <c r="A28" s="15">
        <v>13</v>
      </c>
      <c r="B28" s="15" t="s">
        <v>7</v>
      </c>
      <c r="C28" s="15" t="s">
        <v>27</v>
      </c>
      <c r="D28" s="15" t="s">
        <v>55</v>
      </c>
      <c r="E28" s="15">
        <v>1</v>
      </c>
      <c r="H28">
        <v>23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</row>
    <row r="29" spans="1:39" ht="15.75">
      <c r="A29" s="15"/>
      <c r="B29" s="15" t="s">
        <v>19</v>
      </c>
      <c r="C29" s="15" t="s">
        <v>26</v>
      </c>
      <c r="D29" s="15" t="s">
        <v>16</v>
      </c>
      <c r="E29" s="15">
        <v>2</v>
      </c>
      <c r="H29">
        <v>24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</row>
    <row r="30" spans="1:39" ht="15.75">
      <c r="A30" s="15">
        <v>14</v>
      </c>
      <c r="B30" s="15" t="s">
        <v>7</v>
      </c>
      <c r="C30" s="15" t="s">
        <v>8</v>
      </c>
      <c r="D30" s="15" t="s">
        <v>9</v>
      </c>
      <c r="E30" s="15">
        <v>1</v>
      </c>
      <c r="H30">
        <v>25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3</v>
      </c>
    </row>
    <row r="31" spans="1:39" ht="15.75">
      <c r="A31" s="15"/>
      <c r="B31" s="15" t="s">
        <v>7</v>
      </c>
      <c r="C31" s="15" t="s">
        <v>8</v>
      </c>
      <c r="D31" s="15" t="s">
        <v>37</v>
      </c>
      <c r="E31" s="15">
        <v>3</v>
      </c>
      <c r="H31">
        <v>26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</row>
    <row r="32" spans="1:39" ht="15.75">
      <c r="A32" s="15"/>
      <c r="B32" s="15" t="s">
        <v>19</v>
      </c>
      <c r="C32" s="15" t="s">
        <v>26</v>
      </c>
      <c r="D32" s="15" t="s">
        <v>16</v>
      </c>
      <c r="E32" s="15">
        <v>1</v>
      </c>
      <c r="H32">
        <v>27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</row>
    <row r="33" spans="1:39" ht="15.75">
      <c r="A33" s="15"/>
      <c r="B33" s="15" t="s">
        <v>19</v>
      </c>
      <c r="C33" s="15" t="s">
        <v>20</v>
      </c>
      <c r="D33" s="15" t="s">
        <v>9</v>
      </c>
      <c r="E33" s="15">
        <v>1</v>
      </c>
      <c r="H33">
        <v>28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</row>
    <row r="34" spans="1:39" ht="15.75">
      <c r="A34" s="15">
        <v>15</v>
      </c>
      <c r="B34" s="15" t="s">
        <v>7</v>
      </c>
      <c r="C34" s="15" t="s">
        <v>8</v>
      </c>
      <c r="D34" s="15" t="s">
        <v>18</v>
      </c>
      <c r="E34" s="15">
        <v>1</v>
      </c>
      <c r="H34">
        <v>29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</row>
    <row r="35" spans="1:39" ht="15.75">
      <c r="A35" s="15">
        <v>16</v>
      </c>
      <c r="B35" s="15" t="s">
        <v>19</v>
      </c>
      <c r="C35" s="15" t="s">
        <v>20</v>
      </c>
      <c r="D35" s="15" t="s">
        <v>9</v>
      </c>
      <c r="E35" s="15">
        <v>1</v>
      </c>
      <c r="H35">
        <v>30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</row>
    <row r="36" spans="1:39" ht="15.75">
      <c r="A36" s="15"/>
      <c r="B36" s="15" t="s">
        <v>7</v>
      </c>
      <c r="C36" s="15" t="s">
        <v>27</v>
      </c>
      <c r="D36" s="15" t="s">
        <v>55</v>
      </c>
      <c r="E36" s="15">
        <v>1</v>
      </c>
      <c r="H36">
        <v>31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</row>
    <row r="37" spans="1:39" ht="15.75">
      <c r="A37" s="15">
        <v>17</v>
      </c>
      <c r="B37" s="15">
        <v>0</v>
      </c>
      <c r="C37" s="15"/>
      <c r="D37" s="15"/>
      <c r="E37" s="15"/>
      <c r="H37">
        <v>32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</row>
    <row r="38" spans="1:39" ht="15.75">
      <c r="A38" s="15">
        <v>18</v>
      </c>
      <c r="B38" s="15">
        <v>0</v>
      </c>
      <c r="C38" s="15"/>
      <c r="D38" s="15"/>
      <c r="E38" s="15"/>
      <c r="H38">
        <v>33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</row>
    <row r="39" spans="1:39" ht="15.75">
      <c r="A39" s="15">
        <v>19</v>
      </c>
      <c r="B39" s="15">
        <v>0</v>
      </c>
      <c r="C39" s="15"/>
      <c r="D39" s="15"/>
      <c r="E39" s="15"/>
      <c r="H39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</row>
    <row r="40" spans="1:39" ht="15.75">
      <c r="A40" s="15">
        <v>20</v>
      </c>
      <c r="B40" s="15" t="s">
        <v>7</v>
      </c>
      <c r="C40" s="15" t="s">
        <v>8</v>
      </c>
      <c r="D40" s="15" t="s">
        <v>37</v>
      </c>
      <c r="E40" s="15">
        <v>5</v>
      </c>
      <c r="H40">
        <v>35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</row>
    <row r="41" spans="1:39" ht="15.75">
      <c r="A41" s="15"/>
      <c r="B41" s="15" t="s">
        <v>19</v>
      </c>
      <c r="C41" s="15" t="s">
        <v>11</v>
      </c>
      <c r="D41" s="15" t="s">
        <v>67</v>
      </c>
      <c r="E41" s="15">
        <v>1</v>
      </c>
      <c r="H41">
        <v>36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</row>
    <row r="42" spans="1:39" ht="15.75">
      <c r="A42" s="15">
        <v>21</v>
      </c>
      <c r="B42" s="15" t="s">
        <v>19</v>
      </c>
      <c r="C42" s="15" t="s">
        <v>20</v>
      </c>
      <c r="D42" s="15" t="s">
        <v>9</v>
      </c>
      <c r="E42" s="15">
        <v>8</v>
      </c>
      <c r="H42">
        <v>37</v>
      </c>
      <c r="I42">
        <v>0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</row>
    <row r="43" spans="1:39" ht="15.75">
      <c r="A43" s="15"/>
      <c r="B43" s="15" t="s">
        <v>19</v>
      </c>
      <c r="C43" s="15" t="s">
        <v>21</v>
      </c>
      <c r="D43" s="15" t="s">
        <v>64</v>
      </c>
      <c r="E43" s="15">
        <v>1</v>
      </c>
      <c r="H43">
        <v>38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</row>
    <row r="44" spans="1:39" ht="15.75">
      <c r="A44" s="15">
        <v>22</v>
      </c>
      <c r="B44" s="15" t="s">
        <v>7</v>
      </c>
      <c r="C44" s="15" t="s">
        <v>8</v>
      </c>
      <c r="D44" s="15" t="s">
        <v>9</v>
      </c>
      <c r="E44" s="15">
        <v>1</v>
      </c>
      <c r="H44">
        <v>39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3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</row>
    <row r="45" spans="1:39" ht="15.75">
      <c r="A45" s="15"/>
      <c r="B45" s="15" t="s">
        <v>19</v>
      </c>
      <c r="C45" s="15" t="s">
        <v>11</v>
      </c>
      <c r="D45" s="15" t="s">
        <v>67</v>
      </c>
      <c r="E45" s="15">
        <v>5</v>
      </c>
      <c r="H45">
        <v>40</v>
      </c>
      <c r="I45">
        <v>0</v>
      </c>
      <c r="J45">
        <v>0</v>
      </c>
      <c r="K45">
        <v>0</v>
      </c>
      <c r="L45">
        <v>0</v>
      </c>
      <c r="M45">
        <v>6</v>
      </c>
      <c r="N45">
        <v>0</v>
      </c>
      <c r="O45">
        <v>2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</row>
    <row r="46" spans="1:39" ht="15.75">
      <c r="A46" s="15">
        <v>23</v>
      </c>
      <c r="B46" s="15" t="s">
        <v>7</v>
      </c>
      <c r="C46" s="15" t="s">
        <v>8</v>
      </c>
      <c r="D46" s="15" t="s">
        <v>37</v>
      </c>
      <c r="E46" s="15">
        <v>1</v>
      </c>
      <c r="H46">
        <v>41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9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</row>
    <row r="47" spans="1:39" ht="15.75">
      <c r="A47" s="15">
        <v>24</v>
      </c>
      <c r="B47" s="15">
        <v>0</v>
      </c>
      <c r="C47" s="15"/>
      <c r="D47" s="15"/>
      <c r="E47" s="15"/>
      <c r="H47">
        <v>42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3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</row>
    <row r="48" spans="1:39" ht="15.75">
      <c r="A48" s="15">
        <v>25</v>
      </c>
      <c r="B48" s="15" t="s">
        <v>19</v>
      </c>
      <c r="C48" s="15" t="s">
        <v>11</v>
      </c>
      <c r="D48" s="15" t="s">
        <v>67</v>
      </c>
      <c r="E48" s="15">
        <v>3</v>
      </c>
      <c r="H48">
        <v>43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7</v>
      </c>
      <c r="T48">
        <v>0</v>
      </c>
      <c r="U48">
        <v>0</v>
      </c>
      <c r="V48">
        <v>5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</row>
    <row r="49" spans="1:39" ht="15.75">
      <c r="A49" s="15">
        <v>26</v>
      </c>
      <c r="B49" s="15">
        <v>0</v>
      </c>
      <c r="C49" s="15"/>
      <c r="D49" s="15"/>
      <c r="E49" s="15"/>
      <c r="H49">
        <v>44</v>
      </c>
      <c r="I49">
        <v>0</v>
      </c>
      <c r="J49">
        <v>0</v>
      </c>
      <c r="K49">
        <v>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2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</row>
    <row r="50" spans="1:39" ht="15.75">
      <c r="A50" s="15">
        <v>27</v>
      </c>
      <c r="B50" s="15">
        <v>0</v>
      </c>
      <c r="C50" s="15"/>
      <c r="D50" s="15"/>
      <c r="E50" s="15"/>
      <c r="H50">
        <v>45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</row>
    <row r="51" spans="1:39" ht="15.75">
      <c r="A51" s="15">
        <v>28</v>
      </c>
      <c r="B51" s="15">
        <v>0</v>
      </c>
      <c r="C51" s="15"/>
      <c r="D51" s="15"/>
      <c r="E51" s="15"/>
      <c r="H51">
        <v>46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</v>
      </c>
      <c r="R51">
        <v>0</v>
      </c>
      <c r="S51">
        <v>0</v>
      </c>
      <c r="T51">
        <v>0</v>
      </c>
      <c r="U51">
        <v>0</v>
      </c>
      <c r="V51">
        <v>1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</row>
    <row r="52" spans="1:39" ht="15.75">
      <c r="A52" s="15">
        <v>29</v>
      </c>
      <c r="B52" s="15">
        <v>0</v>
      </c>
      <c r="C52" s="15"/>
      <c r="D52" s="15"/>
      <c r="E52" s="15"/>
      <c r="H52">
        <v>47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</row>
    <row r="53" spans="1:39" ht="15.75">
      <c r="A53" s="15">
        <v>30</v>
      </c>
      <c r="B53" s="15">
        <v>0</v>
      </c>
      <c r="C53" s="15"/>
      <c r="D53" s="15"/>
      <c r="E53" s="15"/>
      <c r="H53">
        <v>48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3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2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</row>
    <row r="54" spans="1:39" ht="15.75">
      <c r="A54" s="15">
        <v>31</v>
      </c>
      <c r="B54" s="15">
        <v>0</v>
      </c>
      <c r="C54" s="15"/>
      <c r="D54" s="15"/>
      <c r="E54" s="15"/>
      <c r="H54">
        <v>49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</row>
    <row r="55" spans="1:39" ht="15.75">
      <c r="A55" s="15">
        <v>32</v>
      </c>
      <c r="B55" s="15">
        <v>0</v>
      </c>
      <c r="C55" s="15"/>
      <c r="D55" s="15"/>
      <c r="E55" s="15"/>
      <c r="H55">
        <v>50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</row>
    <row r="56" spans="1:39" ht="15.75">
      <c r="A56" s="15">
        <v>33</v>
      </c>
      <c r="B56" s="15" t="s">
        <v>7</v>
      </c>
      <c r="C56" s="15" t="s">
        <v>8</v>
      </c>
      <c r="D56" s="15" t="s">
        <v>18</v>
      </c>
      <c r="E56" s="15">
        <v>3</v>
      </c>
      <c r="H56">
        <v>51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</row>
    <row r="57" spans="1:39" ht="15.75">
      <c r="A57" s="15"/>
      <c r="B57" s="15" t="s">
        <v>22</v>
      </c>
      <c r="C57" s="15" t="s">
        <v>21</v>
      </c>
      <c r="D57" s="15" t="s">
        <v>9</v>
      </c>
      <c r="E57" s="15">
        <v>1</v>
      </c>
      <c r="H57">
        <v>52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</row>
    <row r="58" spans="1:39" ht="15.75">
      <c r="A58" s="15">
        <v>34</v>
      </c>
      <c r="B58" s="15">
        <v>0</v>
      </c>
      <c r="C58" s="15"/>
      <c r="D58" s="15"/>
      <c r="E58" s="15"/>
      <c r="H58">
        <v>53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2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</row>
    <row r="59" spans="1:39" ht="15.75">
      <c r="A59" s="15">
        <v>35</v>
      </c>
      <c r="B59" s="15">
        <v>0</v>
      </c>
      <c r="C59" s="15"/>
      <c r="D59" s="15"/>
      <c r="E59" s="15"/>
      <c r="H59">
        <v>54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0</v>
      </c>
      <c r="AK59">
        <v>0</v>
      </c>
      <c r="AL59">
        <v>0</v>
      </c>
      <c r="AM59">
        <v>0</v>
      </c>
    </row>
    <row r="60" spans="1:39" ht="15.75">
      <c r="A60" s="15">
        <v>36</v>
      </c>
      <c r="B60" s="15" t="s">
        <v>28</v>
      </c>
      <c r="C60" s="15" t="s">
        <v>8</v>
      </c>
      <c r="D60" s="15" t="s">
        <v>30</v>
      </c>
      <c r="E60" s="15">
        <v>1</v>
      </c>
      <c r="H60">
        <v>55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4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</row>
    <row r="61" spans="1:39" ht="15.75">
      <c r="A61" s="15">
        <v>37</v>
      </c>
      <c r="B61" s="15" t="s">
        <v>7</v>
      </c>
      <c r="C61" s="15" t="s">
        <v>21</v>
      </c>
      <c r="D61" s="16" t="s">
        <v>64</v>
      </c>
      <c r="E61" s="15">
        <v>3</v>
      </c>
      <c r="H61">
        <v>56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</row>
    <row r="62" spans="1:39" ht="15.75">
      <c r="A62" s="15">
        <v>38</v>
      </c>
      <c r="B62" s="15">
        <v>0</v>
      </c>
      <c r="C62" s="15"/>
      <c r="D62" s="15"/>
      <c r="E62" s="15"/>
      <c r="H62">
        <v>57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</row>
    <row r="63" spans="1:39" ht="15.75">
      <c r="A63" s="15">
        <v>39</v>
      </c>
      <c r="B63" s="15" t="s">
        <v>28</v>
      </c>
      <c r="C63" s="15" t="s">
        <v>8</v>
      </c>
      <c r="D63" s="15" t="s">
        <v>30</v>
      </c>
      <c r="E63" s="15">
        <v>3</v>
      </c>
      <c r="H63">
        <v>58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</row>
    <row r="64" spans="1:39" ht="15.75">
      <c r="A64" s="15"/>
      <c r="B64" s="15" t="s">
        <v>7</v>
      </c>
      <c r="C64" s="15" t="s">
        <v>27</v>
      </c>
      <c r="D64" s="15" t="s">
        <v>13</v>
      </c>
      <c r="E64" s="15">
        <v>1</v>
      </c>
      <c r="H64">
        <v>59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>
        <v>0</v>
      </c>
      <c r="AG64">
        <v>0</v>
      </c>
      <c r="AH64">
        <v>0</v>
      </c>
      <c r="AI64">
        <v>3</v>
      </c>
      <c r="AJ64">
        <v>0</v>
      </c>
      <c r="AK64">
        <v>0</v>
      </c>
      <c r="AL64">
        <v>0</v>
      </c>
      <c r="AM64">
        <v>0</v>
      </c>
    </row>
    <row r="65" spans="1:39" ht="15.75">
      <c r="A65" s="15"/>
      <c r="B65" s="15" t="s">
        <v>19</v>
      </c>
      <c r="C65" s="15" t="s">
        <v>20</v>
      </c>
      <c r="D65" s="15" t="s">
        <v>9</v>
      </c>
      <c r="E65" s="15">
        <v>1</v>
      </c>
      <c r="H65">
        <v>60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</row>
    <row r="66" spans="1:39" ht="15.75">
      <c r="A66" s="15">
        <v>40</v>
      </c>
      <c r="B66" s="15" t="s">
        <v>19</v>
      </c>
      <c r="C66" s="15" t="s">
        <v>26</v>
      </c>
      <c r="D66" s="15" t="s">
        <v>16</v>
      </c>
      <c r="E66" s="15">
        <v>6</v>
      </c>
      <c r="H66">
        <v>61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2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</row>
    <row r="67" spans="1:39" ht="15.75">
      <c r="A67" s="15"/>
      <c r="B67" s="15" t="s">
        <v>19</v>
      </c>
      <c r="C67" s="15" t="s">
        <v>20</v>
      </c>
      <c r="D67" s="15" t="s">
        <v>9</v>
      </c>
      <c r="E67" s="15">
        <v>2</v>
      </c>
      <c r="H67">
        <v>62</v>
      </c>
      <c r="I67">
        <v>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</row>
    <row r="68" spans="1:39" ht="15.75">
      <c r="A68" s="15">
        <v>41</v>
      </c>
      <c r="B68" s="15" t="s">
        <v>7</v>
      </c>
      <c r="C68" s="15" t="s">
        <v>8</v>
      </c>
      <c r="D68" s="15" t="s">
        <v>37</v>
      </c>
      <c r="E68" s="15">
        <v>9</v>
      </c>
      <c r="H68">
        <v>63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1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</row>
    <row r="69" spans="1:39" ht="15.75">
      <c r="A69" s="15">
        <v>42</v>
      </c>
      <c r="B69" s="15" t="s">
        <v>7</v>
      </c>
      <c r="C69" s="15" t="s">
        <v>8</v>
      </c>
      <c r="D69" s="15" t="s">
        <v>37</v>
      </c>
      <c r="E69" s="15">
        <v>3</v>
      </c>
      <c r="H69">
        <v>64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0</v>
      </c>
      <c r="AM69">
        <v>0</v>
      </c>
    </row>
    <row r="70" spans="1:39" ht="15.75">
      <c r="A70" s="15">
        <v>43</v>
      </c>
      <c r="B70" s="15" t="s">
        <v>7</v>
      </c>
      <c r="C70" s="15" t="s">
        <v>8</v>
      </c>
      <c r="D70" s="15" t="s">
        <v>18</v>
      </c>
      <c r="E70" s="15">
        <v>7</v>
      </c>
      <c r="H70">
        <v>65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</row>
    <row r="71" spans="1:39" ht="15.75">
      <c r="A71" s="15"/>
      <c r="B71" s="15" t="s">
        <v>7</v>
      </c>
      <c r="C71" s="15" t="s">
        <v>8</v>
      </c>
      <c r="D71" s="15" t="s">
        <v>16</v>
      </c>
      <c r="E71" s="15">
        <v>5</v>
      </c>
      <c r="H71">
        <v>66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</row>
    <row r="72" spans="1:39" ht="15.75">
      <c r="A72" s="15">
        <v>44</v>
      </c>
      <c r="B72" s="15" t="s">
        <v>7</v>
      </c>
      <c r="C72" s="15" t="s">
        <v>8</v>
      </c>
      <c r="D72" s="15" t="s">
        <v>16</v>
      </c>
      <c r="E72" s="15">
        <v>2</v>
      </c>
      <c r="H72">
        <v>67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0</v>
      </c>
      <c r="AJ72">
        <v>0</v>
      </c>
      <c r="AK72">
        <v>0</v>
      </c>
      <c r="AL72">
        <v>0</v>
      </c>
      <c r="AM72">
        <v>0</v>
      </c>
    </row>
    <row r="73" spans="1:39" ht="15.75">
      <c r="A73" s="15"/>
      <c r="B73" s="15" t="s">
        <v>19</v>
      </c>
      <c r="C73" s="17" t="s">
        <v>21</v>
      </c>
      <c r="D73" s="16" t="s">
        <v>64</v>
      </c>
      <c r="E73" s="15">
        <v>3</v>
      </c>
      <c r="H73">
        <v>68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2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</row>
    <row r="74" spans="1:39" ht="15.75">
      <c r="A74" s="15">
        <v>45</v>
      </c>
      <c r="B74" s="15">
        <v>0</v>
      </c>
      <c r="C74" s="15"/>
      <c r="D74" s="15"/>
      <c r="E74" s="15"/>
      <c r="H74">
        <v>69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2</v>
      </c>
      <c r="AI74">
        <v>0</v>
      </c>
      <c r="AJ74">
        <v>0</v>
      </c>
      <c r="AK74">
        <v>0</v>
      </c>
      <c r="AL74">
        <v>0</v>
      </c>
      <c r="AM74">
        <v>0</v>
      </c>
    </row>
    <row r="75" spans="1:39" ht="15.75">
      <c r="A75" s="15">
        <v>46</v>
      </c>
      <c r="B75" s="15" t="s">
        <v>7</v>
      </c>
      <c r="C75" s="15" t="s">
        <v>8</v>
      </c>
      <c r="D75" s="15" t="s">
        <v>16</v>
      </c>
      <c r="E75" s="15">
        <v>1</v>
      </c>
      <c r="H75">
        <v>70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</row>
    <row r="76" spans="1:39" ht="15.75">
      <c r="A76" s="15"/>
      <c r="B76" s="15" t="s">
        <v>7</v>
      </c>
      <c r="C76" s="15" t="s">
        <v>8</v>
      </c>
      <c r="D76" s="15" t="s">
        <v>37</v>
      </c>
      <c r="E76" s="15">
        <v>2</v>
      </c>
      <c r="H76">
        <v>71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2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</row>
    <row r="77" spans="1:39" ht="15.75">
      <c r="A77" s="15">
        <v>47</v>
      </c>
      <c r="B77" s="15">
        <v>0</v>
      </c>
      <c r="C77" s="15"/>
      <c r="D77" s="15"/>
      <c r="E77" s="15"/>
      <c r="H77">
        <v>72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</row>
    <row r="78" spans="1:39" ht="15.75">
      <c r="A78" s="15">
        <v>48</v>
      </c>
      <c r="B78" s="15" t="s">
        <v>7</v>
      </c>
      <c r="C78" s="15" t="s">
        <v>27</v>
      </c>
      <c r="D78" s="15" t="s">
        <v>13</v>
      </c>
      <c r="E78" s="15">
        <v>2</v>
      </c>
      <c r="H78">
        <v>73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</row>
    <row r="79" spans="1:39" ht="15.75">
      <c r="A79" s="15"/>
      <c r="B79" s="15" t="s">
        <v>7</v>
      </c>
      <c r="C79" s="15" t="s">
        <v>8</v>
      </c>
      <c r="D79" s="15" t="s">
        <v>37</v>
      </c>
      <c r="E79" s="15">
        <v>3</v>
      </c>
      <c r="H79">
        <v>74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</row>
    <row r="80" spans="1:39" ht="15.75">
      <c r="A80" s="15">
        <v>49</v>
      </c>
      <c r="B80" s="15" t="s">
        <v>7</v>
      </c>
      <c r="C80" s="15" t="s">
        <v>8</v>
      </c>
      <c r="D80" s="15" t="s">
        <v>37</v>
      </c>
      <c r="E80" s="15">
        <v>1</v>
      </c>
      <c r="H80">
        <v>75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</row>
    <row r="81" spans="1:39" ht="15.75">
      <c r="A81" s="15">
        <v>50</v>
      </c>
      <c r="B81" s="15">
        <v>0</v>
      </c>
      <c r="C81" s="15"/>
      <c r="D81" s="15"/>
      <c r="E81" s="15"/>
      <c r="H81">
        <v>76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</row>
    <row r="82" spans="1:39" ht="15.75">
      <c r="A82" s="15">
        <v>51</v>
      </c>
      <c r="B82" s="15">
        <v>0</v>
      </c>
      <c r="C82" s="15"/>
      <c r="D82" s="15"/>
      <c r="E82" s="15"/>
      <c r="H82">
        <v>77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</row>
    <row r="83" spans="1:39" ht="15.75">
      <c r="A83" s="15">
        <v>52</v>
      </c>
      <c r="B83" s="15">
        <v>0</v>
      </c>
      <c r="C83" s="15"/>
      <c r="D83" s="15"/>
      <c r="E83" s="15"/>
      <c r="H83">
        <v>78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</row>
    <row r="84" spans="1:39" ht="15.75">
      <c r="A84" s="15">
        <v>53</v>
      </c>
      <c r="B84" s="15" t="s">
        <v>7</v>
      </c>
      <c r="C84" s="15" t="s">
        <v>8</v>
      </c>
      <c r="D84" s="15" t="s">
        <v>37</v>
      </c>
      <c r="E84" s="15">
        <v>2</v>
      </c>
      <c r="H84">
        <v>79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</row>
    <row r="85" spans="1:39" ht="15.75">
      <c r="A85" s="15"/>
      <c r="B85" s="15" t="s">
        <v>7</v>
      </c>
      <c r="C85" s="15" t="s">
        <v>8</v>
      </c>
      <c r="D85" s="15" t="s">
        <v>16</v>
      </c>
      <c r="E85" s="15">
        <v>1</v>
      </c>
      <c r="H85">
        <v>80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</row>
    <row r="86" spans="1:40" ht="15.75">
      <c r="A86" s="15">
        <v>54</v>
      </c>
      <c r="B86" s="15" t="s">
        <v>7</v>
      </c>
      <c r="C86" s="15" t="s">
        <v>8</v>
      </c>
      <c r="D86" s="15" t="s">
        <v>18</v>
      </c>
      <c r="E86" s="15">
        <v>2</v>
      </c>
      <c r="I86">
        <f>SUM(I6:I85)</f>
        <v>3</v>
      </c>
      <c r="J86">
        <f aca="true" t="shared" si="0" ref="J86:AM86">SUM(J6:J85)</f>
        <v>0</v>
      </c>
      <c r="K86">
        <f t="shared" si="0"/>
        <v>7</v>
      </c>
      <c r="L86">
        <f t="shared" si="0"/>
        <v>10</v>
      </c>
      <c r="M86">
        <f t="shared" si="0"/>
        <v>13</v>
      </c>
      <c r="N86">
        <f t="shared" si="0"/>
        <v>13</v>
      </c>
      <c r="O86">
        <f t="shared" si="0"/>
        <v>21</v>
      </c>
      <c r="P86">
        <f t="shared" si="0"/>
        <v>0</v>
      </c>
      <c r="Q86">
        <f t="shared" si="0"/>
        <v>29</v>
      </c>
      <c r="R86">
        <f t="shared" si="0"/>
        <v>0</v>
      </c>
      <c r="S86">
        <f t="shared" si="0"/>
        <v>19</v>
      </c>
      <c r="T86">
        <f t="shared" si="0"/>
        <v>7</v>
      </c>
      <c r="U86">
        <f t="shared" si="0"/>
        <v>11</v>
      </c>
      <c r="V86">
        <f t="shared" si="0"/>
        <v>19</v>
      </c>
      <c r="W86">
        <f t="shared" si="0"/>
        <v>0</v>
      </c>
      <c r="X86">
        <f t="shared" si="0"/>
        <v>0</v>
      </c>
      <c r="Y86">
        <f t="shared" si="0"/>
        <v>0</v>
      </c>
      <c r="Z86">
        <f t="shared" si="0"/>
        <v>0</v>
      </c>
      <c r="AA86">
        <f t="shared" si="0"/>
        <v>0</v>
      </c>
      <c r="AB86">
        <f t="shared" si="0"/>
        <v>0</v>
      </c>
      <c r="AC86">
        <f t="shared" si="0"/>
        <v>2</v>
      </c>
      <c r="AD86">
        <f t="shared" si="0"/>
        <v>16</v>
      </c>
      <c r="AE86">
        <f t="shared" si="0"/>
        <v>0</v>
      </c>
      <c r="AF86">
        <f t="shared" si="0"/>
        <v>0</v>
      </c>
      <c r="AG86">
        <f t="shared" si="0"/>
        <v>0</v>
      </c>
      <c r="AH86">
        <f t="shared" si="0"/>
        <v>4</v>
      </c>
      <c r="AI86">
        <f t="shared" si="0"/>
        <v>5</v>
      </c>
      <c r="AJ86">
        <f t="shared" si="0"/>
        <v>0</v>
      </c>
      <c r="AK86">
        <f t="shared" si="0"/>
        <v>0</v>
      </c>
      <c r="AL86">
        <f t="shared" si="0"/>
        <v>12</v>
      </c>
      <c r="AM86">
        <f t="shared" si="0"/>
        <v>9</v>
      </c>
      <c r="AN86">
        <f>SUM(I86:AM86)</f>
        <v>200</v>
      </c>
    </row>
    <row r="87" spans="1:5" ht="15.75">
      <c r="A87" s="15"/>
      <c r="B87" s="15" t="s">
        <v>28</v>
      </c>
      <c r="C87" s="15" t="s">
        <v>25</v>
      </c>
      <c r="D87" s="15" t="s">
        <v>69</v>
      </c>
      <c r="E87" s="15">
        <v>1</v>
      </c>
    </row>
    <row r="88" spans="1:5" ht="15.75">
      <c r="A88" s="15">
        <v>55</v>
      </c>
      <c r="B88" s="15" t="s">
        <v>28</v>
      </c>
      <c r="C88" s="15" t="s">
        <v>8</v>
      </c>
      <c r="D88" s="15" t="s">
        <v>30</v>
      </c>
      <c r="E88" s="15">
        <v>1</v>
      </c>
    </row>
    <row r="89" spans="1:5" ht="15.75">
      <c r="A89" s="15"/>
      <c r="B89" s="15" t="s">
        <v>7</v>
      </c>
      <c r="C89" s="15" t="s">
        <v>8</v>
      </c>
      <c r="D89" s="15" t="s">
        <v>16</v>
      </c>
      <c r="E89" s="15">
        <v>4</v>
      </c>
    </row>
    <row r="90" spans="1:5" ht="15.75">
      <c r="A90" s="15">
        <v>56</v>
      </c>
      <c r="B90" s="15" t="s">
        <v>7</v>
      </c>
      <c r="C90" s="15" t="s">
        <v>8</v>
      </c>
      <c r="D90" s="15" t="s">
        <v>16</v>
      </c>
      <c r="E90" s="15">
        <v>1</v>
      </c>
    </row>
    <row r="91" spans="1:5" ht="15.75">
      <c r="A91" s="15">
        <v>57</v>
      </c>
      <c r="B91" s="15">
        <v>0</v>
      </c>
      <c r="C91" s="15"/>
      <c r="D91" s="15"/>
      <c r="E91" s="15"/>
    </row>
    <row r="92" spans="1:5" ht="15.75">
      <c r="A92" s="15">
        <v>58</v>
      </c>
      <c r="B92" s="15">
        <v>0</v>
      </c>
      <c r="C92" s="15"/>
      <c r="D92" s="15"/>
      <c r="E92" s="15"/>
    </row>
    <row r="93" spans="1:5" ht="15.75">
      <c r="A93" s="15">
        <v>59</v>
      </c>
      <c r="B93" s="15" t="s">
        <v>22</v>
      </c>
      <c r="C93" s="15" t="s">
        <v>25</v>
      </c>
      <c r="D93" s="15" t="s">
        <v>69</v>
      </c>
      <c r="E93" s="15">
        <v>3</v>
      </c>
    </row>
    <row r="94" spans="1:5" ht="15.75">
      <c r="A94" s="15"/>
      <c r="B94" s="15" t="s">
        <v>7</v>
      </c>
      <c r="C94" s="15" t="s">
        <v>27</v>
      </c>
      <c r="D94" s="15" t="s">
        <v>13</v>
      </c>
      <c r="E94" s="15">
        <v>1</v>
      </c>
    </row>
    <row r="95" spans="1:5" ht="15.75">
      <c r="A95" s="15">
        <v>60</v>
      </c>
      <c r="B95" s="15">
        <v>0</v>
      </c>
      <c r="C95" s="15"/>
      <c r="D95" s="15"/>
      <c r="E95" s="15"/>
    </row>
    <row r="96" spans="1:5" ht="15.75">
      <c r="A96" s="15">
        <v>61</v>
      </c>
      <c r="B96" s="15" t="s">
        <v>28</v>
      </c>
      <c r="C96" s="15" t="s">
        <v>8</v>
      </c>
      <c r="D96" s="15" t="s">
        <v>30</v>
      </c>
      <c r="E96" s="15">
        <v>2</v>
      </c>
    </row>
    <row r="97" spans="1:5" ht="15.75">
      <c r="A97" s="15">
        <v>62</v>
      </c>
      <c r="B97" s="15" t="s">
        <v>22</v>
      </c>
      <c r="C97" s="15" t="s">
        <v>21</v>
      </c>
      <c r="D97" s="15" t="s">
        <v>9</v>
      </c>
      <c r="E97" s="15">
        <v>2</v>
      </c>
    </row>
    <row r="98" spans="1:5" ht="15.75">
      <c r="A98" s="15"/>
      <c r="B98" s="15" t="s">
        <v>7</v>
      </c>
      <c r="C98" s="15" t="s">
        <v>27</v>
      </c>
      <c r="D98" s="15" t="s">
        <v>13</v>
      </c>
      <c r="E98" s="15">
        <v>1</v>
      </c>
    </row>
    <row r="99" spans="1:5" ht="15.75">
      <c r="A99" s="15">
        <v>63</v>
      </c>
      <c r="B99" s="15" t="s">
        <v>7</v>
      </c>
      <c r="C99" s="15" t="s">
        <v>10</v>
      </c>
      <c r="D99" s="15" t="s">
        <v>9</v>
      </c>
      <c r="E99" s="15">
        <v>1</v>
      </c>
    </row>
    <row r="100" spans="1:5" ht="15.75">
      <c r="A100" s="15"/>
      <c r="B100" s="15" t="s">
        <v>7</v>
      </c>
      <c r="C100" s="15" t="s">
        <v>8</v>
      </c>
      <c r="D100" s="15" t="s">
        <v>18</v>
      </c>
      <c r="E100" s="15">
        <v>1</v>
      </c>
    </row>
    <row r="101" spans="1:5" ht="15.75">
      <c r="A101" s="15">
        <v>64</v>
      </c>
      <c r="B101" s="15" t="s">
        <v>7</v>
      </c>
      <c r="C101" s="15" t="s">
        <v>57</v>
      </c>
      <c r="D101" s="15" t="s">
        <v>58</v>
      </c>
      <c r="E101" s="15">
        <v>1</v>
      </c>
    </row>
    <row r="102" spans="1:5" ht="15.75">
      <c r="A102" s="15">
        <v>65</v>
      </c>
      <c r="B102" s="15" t="s">
        <v>7</v>
      </c>
      <c r="C102" s="15" t="s">
        <v>8</v>
      </c>
      <c r="D102" s="15" t="s">
        <v>18</v>
      </c>
      <c r="E102" s="15">
        <v>2</v>
      </c>
    </row>
    <row r="103" spans="1:5" ht="15.75">
      <c r="A103" s="15">
        <v>66</v>
      </c>
      <c r="B103" s="15" t="s">
        <v>7</v>
      </c>
      <c r="C103" s="15" t="s">
        <v>8</v>
      </c>
      <c r="D103" s="15" t="s">
        <v>18</v>
      </c>
      <c r="E103" s="15">
        <v>1</v>
      </c>
    </row>
    <row r="104" spans="1:5" ht="15.75">
      <c r="A104" s="15">
        <v>67</v>
      </c>
      <c r="B104" s="15" t="s">
        <v>7</v>
      </c>
      <c r="C104" s="15" t="s">
        <v>57</v>
      </c>
      <c r="D104" s="15" t="s">
        <v>58</v>
      </c>
      <c r="E104" s="15">
        <v>1</v>
      </c>
    </row>
    <row r="105" spans="1:5" ht="15.75">
      <c r="A105" s="15">
        <v>68</v>
      </c>
      <c r="B105" s="15" t="s">
        <v>7</v>
      </c>
      <c r="C105" s="15" t="s">
        <v>27</v>
      </c>
      <c r="D105" s="15" t="s">
        <v>13</v>
      </c>
      <c r="E105" s="15">
        <v>2</v>
      </c>
    </row>
    <row r="106" spans="1:5" ht="15.75">
      <c r="A106" s="15">
        <v>69</v>
      </c>
      <c r="B106" s="15" t="s">
        <v>7</v>
      </c>
      <c r="C106" s="15" t="s">
        <v>57</v>
      </c>
      <c r="D106" s="15" t="s">
        <v>58</v>
      </c>
      <c r="E106" s="15">
        <v>2</v>
      </c>
    </row>
    <row r="107" spans="1:5" ht="15.75">
      <c r="A107" s="15">
        <v>70</v>
      </c>
      <c r="B107" s="15" t="s">
        <v>7</v>
      </c>
      <c r="C107" s="15" t="s">
        <v>27</v>
      </c>
      <c r="D107" s="15" t="s">
        <v>13</v>
      </c>
      <c r="E107" s="15">
        <v>1</v>
      </c>
    </row>
    <row r="108" spans="1:5" ht="15.75">
      <c r="A108" s="15">
        <v>71</v>
      </c>
      <c r="B108" s="15" t="s">
        <v>7</v>
      </c>
      <c r="C108" s="15" t="s">
        <v>27</v>
      </c>
      <c r="D108" s="15" t="s">
        <v>13</v>
      </c>
      <c r="E108" s="15">
        <v>2</v>
      </c>
    </row>
    <row r="109" spans="1:5" ht="15.75">
      <c r="A109" s="15">
        <v>72</v>
      </c>
      <c r="B109" s="15">
        <v>0</v>
      </c>
      <c r="C109" s="15"/>
      <c r="D109" s="15"/>
      <c r="E109" s="15"/>
    </row>
    <row r="110" spans="1:5" ht="15.75">
      <c r="A110" s="15">
        <v>73</v>
      </c>
      <c r="B110" s="15">
        <v>0</v>
      </c>
      <c r="C110" s="15"/>
      <c r="D110" s="15"/>
      <c r="E110" s="15"/>
    </row>
    <row r="111" spans="1:5" ht="15.75">
      <c r="A111" s="15">
        <v>74</v>
      </c>
      <c r="B111" s="15">
        <v>0</v>
      </c>
      <c r="C111" s="15"/>
      <c r="D111" s="15"/>
      <c r="E111" s="15"/>
    </row>
    <row r="112" spans="1:5" ht="15.75">
      <c r="A112" s="15">
        <v>75</v>
      </c>
      <c r="B112" s="15">
        <v>0</v>
      </c>
      <c r="C112" s="15"/>
      <c r="D112" s="15"/>
      <c r="E112" s="15"/>
    </row>
    <row r="113" spans="1:5" ht="15.75">
      <c r="A113" s="15">
        <v>76</v>
      </c>
      <c r="B113" s="15">
        <v>0</v>
      </c>
      <c r="C113" s="15"/>
      <c r="D113" s="15"/>
      <c r="E113" s="15"/>
    </row>
    <row r="114" spans="1:5" ht="15.75">
      <c r="A114" s="15">
        <v>77</v>
      </c>
      <c r="B114" s="15">
        <v>0</v>
      </c>
      <c r="C114" s="15"/>
      <c r="D114" s="15"/>
      <c r="E114" s="15"/>
    </row>
    <row r="115" spans="1:5" ht="15.75">
      <c r="A115" s="15">
        <v>78</v>
      </c>
      <c r="B115" s="15" t="s">
        <v>7</v>
      </c>
      <c r="C115" s="15" t="s">
        <v>8</v>
      </c>
      <c r="D115" s="15" t="s">
        <v>18</v>
      </c>
      <c r="E115" s="15">
        <v>2</v>
      </c>
    </row>
    <row r="116" spans="1:5" ht="15.75">
      <c r="A116" s="15">
        <v>79</v>
      </c>
      <c r="B116" s="15">
        <v>0</v>
      </c>
      <c r="C116" s="15"/>
      <c r="D116" s="15"/>
      <c r="E116" s="15"/>
    </row>
    <row r="117" spans="1:5" ht="15.75">
      <c r="A117" s="15">
        <v>80</v>
      </c>
      <c r="B117" s="15">
        <v>0</v>
      </c>
      <c r="C117" s="15"/>
      <c r="D117" s="15"/>
      <c r="E117" s="15"/>
    </row>
    <row r="118" ht="15">
      <c r="E118">
        <f>SUM(E6:E117)</f>
        <v>200</v>
      </c>
    </row>
    <row r="120" spans="7:18" ht="15.75">
      <c r="G120" t="s">
        <v>98</v>
      </c>
      <c r="H120" s="11" t="s">
        <v>6</v>
      </c>
      <c r="I120" s="11" t="s">
        <v>88</v>
      </c>
      <c r="J120" s="11" t="s">
        <v>3</v>
      </c>
      <c r="K120" s="11" t="s">
        <v>65</v>
      </c>
      <c r="L120" s="11" t="s">
        <v>66</v>
      </c>
      <c r="N120" t="s">
        <v>6</v>
      </c>
      <c r="O120" t="s">
        <v>137</v>
      </c>
      <c r="Q120" t="s">
        <v>6</v>
      </c>
      <c r="R120" t="s">
        <v>138</v>
      </c>
    </row>
    <row r="121" spans="7:18" ht="15.75">
      <c r="G121">
        <v>1</v>
      </c>
      <c r="H121" s="31" t="s">
        <v>22</v>
      </c>
      <c r="I121" s="31" t="s">
        <v>89</v>
      </c>
      <c r="J121" s="31" t="s">
        <v>21</v>
      </c>
      <c r="K121" s="31" t="s">
        <v>9</v>
      </c>
      <c r="L121" s="32">
        <f>SUM(E57,E97)</f>
        <v>3</v>
      </c>
      <c r="N121" t="s">
        <v>22</v>
      </c>
      <c r="O121">
        <v>3</v>
      </c>
      <c r="Q121" t="s">
        <v>22</v>
      </c>
      <c r="R121">
        <f>SUM(L121:L123)</f>
        <v>20</v>
      </c>
    </row>
    <row r="122" spans="7:18" ht="15.75">
      <c r="G122">
        <v>2</v>
      </c>
      <c r="H122" s="32"/>
      <c r="I122" s="32" t="s">
        <v>95</v>
      </c>
      <c r="J122" s="32" t="s">
        <v>25</v>
      </c>
      <c r="K122" s="16" t="s">
        <v>69</v>
      </c>
      <c r="L122" s="32">
        <f>SUM(E15,E87,E93)</f>
        <v>5</v>
      </c>
      <c r="N122" t="s">
        <v>19</v>
      </c>
      <c r="O122">
        <v>5</v>
      </c>
      <c r="Q122" t="s">
        <v>19</v>
      </c>
      <c r="R122">
        <f>SUM(L133:L137)</f>
        <v>63</v>
      </c>
    </row>
    <row r="123" spans="7:18" ht="15">
      <c r="G123">
        <v>3</v>
      </c>
      <c r="H123" s="32"/>
      <c r="I123" s="32" t="s">
        <v>93</v>
      </c>
      <c r="J123" s="32" t="s">
        <v>11</v>
      </c>
      <c r="K123" s="32" t="s">
        <v>60</v>
      </c>
      <c r="L123" s="32">
        <f>SUM(E14)</f>
        <v>12</v>
      </c>
      <c r="N123" t="s">
        <v>7</v>
      </c>
      <c r="O123">
        <v>7</v>
      </c>
      <c r="Q123" t="s">
        <v>7</v>
      </c>
      <c r="R123">
        <f>SUM(L124:L130)</f>
        <v>100</v>
      </c>
    </row>
    <row r="124" spans="7:18" ht="15.75">
      <c r="G124">
        <v>4</v>
      </c>
      <c r="H124" s="31" t="s">
        <v>7</v>
      </c>
      <c r="I124" s="31" t="s">
        <v>91</v>
      </c>
      <c r="J124" s="16" t="s">
        <v>8</v>
      </c>
      <c r="K124" s="16" t="s">
        <v>37</v>
      </c>
      <c r="L124" s="32">
        <f>SUM(E31,E40,E46,E68,E69,E76,E79,E80,E84)</f>
        <v>29</v>
      </c>
      <c r="N124" t="s">
        <v>28</v>
      </c>
      <c r="O124">
        <v>2</v>
      </c>
      <c r="Q124" t="s">
        <v>28</v>
      </c>
      <c r="R124">
        <f>SUM(L131:L132)</f>
        <v>17</v>
      </c>
    </row>
    <row r="125" spans="7:12" ht="15.75">
      <c r="G125">
        <v>5</v>
      </c>
      <c r="H125" s="32"/>
      <c r="I125" s="31" t="s">
        <v>91</v>
      </c>
      <c r="J125" s="16" t="s">
        <v>8</v>
      </c>
      <c r="K125" s="16" t="s">
        <v>18</v>
      </c>
      <c r="L125" s="32">
        <f>SUM(E34,E56,E70,E86,E100,E102,E103,E115)</f>
        <v>19</v>
      </c>
    </row>
    <row r="126" spans="7:12" ht="15.75">
      <c r="G126">
        <v>6</v>
      </c>
      <c r="H126" s="32"/>
      <c r="I126" s="31" t="s">
        <v>91</v>
      </c>
      <c r="J126" s="16" t="s">
        <v>8</v>
      </c>
      <c r="K126" s="31" t="s">
        <v>9</v>
      </c>
      <c r="L126" s="32">
        <f>SUM(E7,E8,E11,E12,E16,E30,E99,E13)</f>
        <v>11</v>
      </c>
    </row>
    <row r="127" spans="7:12" ht="15.75">
      <c r="G127">
        <v>7</v>
      </c>
      <c r="H127" s="32"/>
      <c r="I127" s="31" t="s">
        <v>91</v>
      </c>
      <c r="J127" s="16" t="s">
        <v>8</v>
      </c>
      <c r="K127" s="31" t="s">
        <v>16</v>
      </c>
      <c r="L127" s="32">
        <f>SUM(E8,E20,E19,E71,E72,E75,E85,E89,E90)</f>
        <v>19</v>
      </c>
    </row>
    <row r="128" spans="7:12" ht="15.75">
      <c r="G128">
        <v>8</v>
      </c>
      <c r="H128" s="33"/>
      <c r="I128" s="31" t="s">
        <v>91</v>
      </c>
      <c r="J128" s="15" t="s">
        <v>27</v>
      </c>
      <c r="K128" s="15" t="s">
        <v>55</v>
      </c>
      <c r="L128" s="15">
        <f>SUM(E28,E36)</f>
        <v>2</v>
      </c>
    </row>
    <row r="129" spans="7:12" ht="15.75">
      <c r="G129">
        <v>9</v>
      </c>
      <c r="H129" s="32"/>
      <c r="I129" s="31" t="s">
        <v>91</v>
      </c>
      <c r="J129" s="32" t="s">
        <v>12</v>
      </c>
      <c r="K129" s="16" t="s">
        <v>13</v>
      </c>
      <c r="L129" s="32">
        <f>SUM(E10,E64,E78,E94,E98,E107,E105,E108)</f>
        <v>16</v>
      </c>
    </row>
    <row r="130" spans="7:12" ht="15.75">
      <c r="G130">
        <v>10</v>
      </c>
      <c r="H130" s="33"/>
      <c r="I130" s="33" t="s">
        <v>94</v>
      </c>
      <c r="J130" s="15" t="s">
        <v>57</v>
      </c>
      <c r="K130" s="15" t="s">
        <v>58</v>
      </c>
      <c r="L130" s="33">
        <f>SUM(E101,E104,E106)</f>
        <v>4</v>
      </c>
    </row>
    <row r="131" spans="7:12" ht="15.75">
      <c r="G131">
        <v>11</v>
      </c>
      <c r="H131" s="32" t="s">
        <v>28</v>
      </c>
      <c r="I131" s="32" t="s">
        <v>89</v>
      </c>
      <c r="J131" s="16" t="s">
        <v>26</v>
      </c>
      <c r="K131" s="16" t="s">
        <v>9</v>
      </c>
      <c r="L131" s="32">
        <f>SUM(E18,E9,E6)</f>
        <v>10</v>
      </c>
    </row>
    <row r="132" spans="7:12" ht="15.75">
      <c r="G132">
        <v>12</v>
      </c>
      <c r="H132" s="32"/>
      <c r="I132" s="32" t="s">
        <v>91</v>
      </c>
      <c r="J132" s="16" t="s">
        <v>8</v>
      </c>
      <c r="K132" s="16" t="s">
        <v>30</v>
      </c>
      <c r="L132" s="32">
        <f>SUM(E60,E63,E88,E96)</f>
        <v>7</v>
      </c>
    </row>
    <row r="133" spans="7:12" ht="15.75">
      <c r="G133">
        <v>13</v>
      </c>
      <c r="H133" s="31" t="s">
        <v>19</v>
      </c>
      <c r="I133" s="31" t="s">
        <v>89</v>
      </c>
      <c r="J133" s="31" t="s">
        <v>21</v>
      </c>
      <c r="K133" s="16" t="s">
        <v>64</v>
      </c>
      <c r="L133" s="32">
        <f>SUM(E43,E61,E73)</f>
        <v>7</v>
      </c>
    </row>
    <row r="134" spans="7:12" ht="15.75">
      <c r="G134">
        <v>14</v>
      </c>
      <c r="H134" s="32"/>
      <c r="I134" s="32" t="s">
        <v>91</v>
      </c>
      <c r="J134" s="16" t="s">
        <v>20</v>
      </c>
      <c r="K134" s="31" t="s">
        <v>9</v>
      </c>
      <c r="L134" s="32">
        <f>SUM(E23,E27,E33,E35,E42,E65,E67)</f>
        <v>21</v>
      </c>
    </row>
    <row r="135" spans="7:12" ht="15.75">
      <c r="G135">
        <v>15</v>
      </c>
      <c r="H135" s="32"/>
      <c r="I135" s="32" t="s">
        <v>93</v>
      </c>
      <c r="J135" s="16" t="s">
        <v>11</v>
      </c>
      <c r="K135" s="16" t="s">
        <v>67</v>
      </c>
      <c r="L135" s="32">
        <f>SUM(E41,E48,E45)</f>
        <v>9</v>
      </c>
    </row>
    <row r="136" spans="7:12" ht="15">
      <c r="G136">
        <v>16</v>
      </c>
      <c r="H136" s="32"/>
      <c r="I136" s="32" t="s">
        <v>89</v>
      </c>
      <c r="J136" s="32" t="s">
        <v>29</v>
      </c>
      <c r="K136" s="32" t="s">
        <v>67</v>
      </c>
      <c r="L136" s="32">
        <f>SUM(E17,E24,E25,E26,E22)</f>
        <v>13</v>
      </c>
    </row>
    <row r="137" spans="7:12" ht="15.75">
      <c r="G137">
        <v>17</v>
      </c>
      <c r="H137" s="33"/>
      <c r="I137" s="33" t="s">
        <v>89</v>
      </c>
      <c r="J137" s="16" t="s">
        <v>26</v>
      </c>
      <c r="K137" s="31" t="s">
        <v>16</v>
      </c>
      <c r="L137" s="33">
        <f>SUM(E21,E29,E32,E66)</f>
        <v>13</v>
      </c>
    </row>
    <row r="138" spans="8:12" ht="15">
      <c r="H138" s="33"/>
      <c r="I138" s="33"/>
      <c r="J138" s="33"/>
      <c r="K138" s="33"/>
      <c r="L138" s="33">
        <f>SUM(L121:L137)</f>
        <v>200</v>
      </c>
    </row>
    <row r="140" spans="7:16" ht="15.75">
      <c r="G140" s="25" t="s">
        <v>98</v>
      </c>
      <c r="H140" s="22" t="s">
        <v>6</v>
      </c>
      <c r="I140" s="22" t="s">
        <v>88</v>
      </c>
      <c r="J140" s="22" t="s">
        <v>3</v>
      </c>
      <c r="K140" s="22" t="s">
        <v>65</v>
      </c>
      <c r="L140" s="25" t="s">
        <v>99</v>
      </c>
      <c r="M140" s="25" t="s">
        <v>79</v>
      </c>
      <c r="N140" s="25" t="s">
        <v>81</v>
      </c>
      <c r="O140" s="25" t="s">
        <v>80</v>
      </c>
      <c r="P140" s="65" t="s">
        <v>100</v>
      </c>
    </row>
    <row r="141" spans="7:16" ht="15.75">
      <c r="G141" s="10">
        <v>1</v>
      </c>
      <c r="H141" s="49" t="s">
        <v>22</v>
      </c>
      <c r="I141" s="49" t="s">
        <v>89</v>
      </c>
      <c r="J141" s="49" t="s">
        <v>21</v>
      </c>
      <c r="K141" s="49" t="s">
        <v>9</v>
      </c>
      <c r="L141" s="10">
        <v>3</v>
      </c>
      <c r="M141" s="50">
        <f>L141/200</f>
        <v>0.015</v>
      </c>
      <c r="N141" s="50">
        <f>LN(M141)</f>
        <v>-4.199705077879927</v>
      </c>
      <c r="O141" s="50">
        <f>M141*N141</f>
        <v>-0.06299557616819891</v>
      </c>
      <c r="P141" s="51">
        <f>M141^2</f>
        <v>0.000225</v>
      </c>
    </row>
    <row r="142" spans="7:16" ht="15.75">
      <c r="G142" s="10">
        <v>2</v>
      </c>
      <c r="H142" s="49" t="s">
        <v>19</v>
      </c>
      <c r="I142" s="49" t="s">
        <v>89</v>
      </c>
      <c r="J142" s="49" t="s">
        <v>21</v>
      </c>
      <c r="K142" s="52" t="s">
        <v>64</v>
      </c>
      <c r="L142" s="10">
        <v>7</v>
      </c>
      <c r="M142" s="50">
        <f aca="true" t="shared" si="1" ref="M142:M157">L142/200</f>
        <v>0.035</v>
      </c>
      <c r="N142" s="50">
        <f aca="true" t="shared" si="2" ref="N142:N157">LN(M142)</f>
        <v>-3.3524072174927233</v>
      </c>
      <c r="O142" s="50">
        <f aca="true" t="shared" si="3" ref="O142:O157">M142*N142</f>
        <v>-0.11733425261224532</v>
      </c>
      <c r="P142" s="51">
        <f aca="true" t="shared" si="4" ref="P142:P157">M142^2</f>
        <v>0.0012250000000000002</v>
      </c>
    </row>
    <row r="143" spans="7:16" ht="15.75">
      <c r="G143" s="10">
        <v>3</v>
      </c>
      <c r="H143" s="53" t="s">
        <v>28</v>
      </c>
      <c r="I143" s="53" t="s">
        <v>89</v>
      </c>
      <c r="J143" s="52" t="s">
        <v>26</v>
      </c>
      <c r="K143" s="52" t="s">
        <v>9</v>
      </c>
      <c r="L143" s="10">
        <v>10</v>
      </c>
      <c r="M143" s="50">
        <f t="shared" si="1"/>
        <v>0.05</v>
      </c>
      <c r="N143" s="50">
        <f t="shared" si="2"/>
        <v>-2.995732273553991</v>
      </c>
      <c r="O143" s="50">
        <f t="shared" si="3"/>
        <v>-0.14978661367769955</v>
      </c>
      <c r="P143" s="51">
        <f t="shared" si="4"/>
        <v>0.0025000000000000005</v>
      </c>
    </row>
    <row r="144" spans="7:16" ht="15.75">
      <c r="G144" s="10">
        <v>4</v>
      </c>
      <c r="H144" s="54" t="s">
        <v>19</v>
      </c>
      <c r="I144" s="54" t="s">
        <v>89</v>
      </c>
      <c r="J144" s="52" t="s">
        <v>26</v>
      </c>
      <c r="K144" s="49" t="s">
        <v>16</v>
      </c>
      <c r="L144" s="10">
        <v>13</v>
      </c>
      <c r="M144" s="50">
        <f t="shared" si="1"/>
        <v>0.065</v>
      </c>
      <c r="N144" s="50">
        <f t="shared" si="2"/>
        <v>-2.7333680090865</v>
      </c>
      <c r="O144" s="50">
        <f t="shared" si="3"/>
        <v>-0.1776689205906225</v>
      </c>
      <c r="P144" s="51">
        <f t="shared" si="4"/>
        <v>0.0042250000000000005</v>
      </c>
    </row>
    <row r="145" spans="7:16" ht="15">
      <c r="G145" s="10">
        <v>5</v>
      </c>
      <c r="H145" s="53" t="s">
        <v>19</v>
      </c>
      <c r="I145" s="53" t="s">
        <v>89</v>
      </c>
      <c r="J145" s="53" t="s">
        <v>29</v>
      </c>
      <c r="K145" s="53" t="s">
        <v>67</v>
      </c>
      <c r="L145" s="10">
        <v>13</v>
      </c>
      <c r="M145" s="50">
        <f t="shared" si="1"/>
        <v>0.065</v>
      </c>
      <c r="N145" s="50">
        <f t="shared" si="2"/>
        <v>-2.7333680090865</v>
      </c>
      <c r="O145" s="50">
        <f t="shared" si="3"/>
        <v>-0.1776689205906225</v>
      </c>
      <c r="P145" s="51">
        <f t="shared" si="4"/>
        <v>0.0042250000000000005</v>
      </c>
    </row>
    <row r="146" spans="7:16" ht="15.75">
      <c r="G146" s="10">
        <v>6</v>
      </c>
      <c r="H146" s="53" t="s">
        <v>19</v>
      </c>
      <c r="I146" s="53" t="s">
        <v>91</v>
      </c>
      <c r="J146" s="52" t="s">
        <v>20</v>
      </c>
      <c r="K146" s="49" t="s">
        <v>9</v>
      </c>
      <c r="L146" s="10">
        <v>21</v>
      </c>
      <c r="M146" s="50">
        <f t="shared" si="1"/>
        <v>0.105</v>
      </c>
      <c r="N146" s="50">
        <f t="shared" si="2"/>
        <v>-2.2537949288246137</v>
      </c>
      <c r="O146" s="50">
        <f t="shared" si="3"/>
        <v>-0.23664846752658444</v>
      </c>
      <c r="P146" s="51">
        <f t="shared" si="4"/>
        <v>0.011024999999999998</v>
      </c>
    </row>
    <row r="147" spans="7:16" ht="15.75">
      <c r="G147" s="10">
        <v>7</v>
      </c>
      <c r="H147" s="49" t="s">
        <v>7</v>
      </c>
      <c r="I147" s="49" t="s">
        <v>91</v>
      </c>
      <c r="J147" s="52" t="s">
        <v>8</v>
      </c>
      <c r="K147" s="52" t="s">
        <v>37</v>
      </c>
      <c r="L147" s="10">
        <v>29</v>
      </c>
      <c r="M147" s="50">
        <f t="shared" si="1"/>
        <v>0.145</v>
      </c>
      <c r="N147" s="50">
        <f t="shared" si="2"/>
        <v>-1.9310215365615626</v>
      </c>
      <c r="O147" s="50">
        <f t="shared" si="3"/>
        <v>-0.27999812280142655</v>
      </c>
      <c r="P147" s="51">
        <f t="shared" si="4"/>
        <v>0.021025</v>
      </c>
    </row>
    <row r="148" spans="7:16" ht="15.75">
      <c r="G148" s="10">
        <v>8</v>
      </c>
      <c r="H148" s="49" t="s">
        <v>7</v>
      </c>
      <c r="I148" s="49" t="s">
        <v>91</v>
      </c>
      <c r="J148" s="52" t="s">
        <v>8</v>
      </c>
      <c r="K148" s="52" t="s">
        <v>18</v>
      </c>
      <c r="L148" s="10">
        <v>19</v>
      </c>
      <c r="M148" s="50">
        <f t="shared" si="1"/>
        <v>0.095</v>
      </c>
      <c r="N148" s="50">
        <f t="shared" si="2"/>
        <v>-2.353878387381596</v>
      </c>
      <c r="O148" s="50">
        <f t="shared" si="3"/>
        <v>-0.22361844680125162</v>
      </c>
      <c r="P148" s="51">
        <f t="shared" si="4"/>
        <v>0.009025</v>
      </c>
    </row>
    <row r="149" spans="7:16" ht="15.75">
      <c r="G149" s="10">
        <v>9</v>
      </c>
      <c r="H149" s="53" t="s">
        <v>28</v>
      </c>
      <c r="I149" s="53" t="s">
        <v>91</v>
      </c>
      <c r="J149" s="52" t="s">
        <v>8</v>
      </c>
      <c r="K149" s="52" t="s">
        <v>30</v>
      </c>
      <c r="L149" s="10">
        <v>7</v>
      </c>
      <c r="M149" s="50">
        <f t="shared" si="1"/>
        <v>0.035</v>
      </c>
      <c r="N149" s="50">
        <f t="shared" si="2"/>
        <v>-3.3524072174927233</v>
      </c>
      <c r="O149" s="50">
        <f t="shared" si="3"/>
        <v>-0.11733425261224532</v>
      </c>
      <c r="P149" s="51">
        <f t="shared" si="4"/>
        <v>0.0012250000000000002</v>
      </c>
    </row>
    <row r="150" spans="7:16" ht="15.75">
      <c r="G150" s="10">
        <v>10</v>
      </c>
      <c r="H150" s="53" t="s">
        <v>7</v>
      </c>
      <c r="I150" s="49" t="s">
        <v>91</v>
      </c>
      <c r="J150" s="52" t="s">
        <v>8</v>
      </c>
      <c r="K150" s="49" t="s">
        <v>9</v>
      </c>
      <c r="L150" s="10">
        <v>11</v>
      </c>
      <c r="M150" s="50">
        <f t="shared" si="1"/>
        <v>0.055</v>
      </c>
      <c r="N150" s="50">
        <f t="shared" si="2"/>
        <v>-2.900422093749666</v>
      </c>
      <c r="O150" s="50">
        <f t="shared" si="3"/>
        <v>-0.15952321515623163</v>
      </c>
      <c r="P150" s="51">
        <f t="shared" si="4"/>
        <v>0.003025</v>
      </c>
    </row>
    <row r="151" spans="7:16" ht="15.75">
      <c r="G151" s="10">
        <v>11</v>
      </c>
      <c r="H151" s="53" t="s">
        <v>7</v>
      </c>
      <c r="I151" s="49" t="s">
        <v>91</v>
      </c>
      <c r="J151" s="52" t="s">
        <v>8</v>
      </c>
      <c r="K151" s="49" t="s">
        <v>16</v>
      </c>
      <c r="L151" s="10">
        <v>19</v>
      </c>
      <c r="M151" s="50">
        <f t="shared" si="1"/>
        <v>0.095</v>
      </c>
      <c r="N151" s="50">
        <f t="shared" si="2"/>
        <v>-2.353878387381596</v>
      </c>
      <c r="O151" s="50">
        <f t="shared" si="3"/>
        <v>-0.22361844680125162</v>
      </c>
      <c r="P151" s="51">
        <f t="shared" si="4"/>
        <v>0.009025</v>
      </c>
    </row>
    <row r="152" spans="7:16" ht="15.75">
      <c r="G152" s="10">
        <v>12</v>
      </c>
      <c r="H152" s="53" t="s">
        <v>7</v>
      </c>
      <c r="I152" s="49" t="s">
        <v>91</v>
      </c>
      <c r="J152" s="55" t="s">
        <v>27</v>
      </c>
      <c r="K152" s="55" t="s">
        <v>55</v>
      </c>
      <c r="L152" s="10">
        <v>2</v>
      </c>
      <c r="M152" s="50">
        <f t="shared" si="1"/>
        <v>0.01</v>
      </c>
      <c r="N152" s="50">
        <f t="shared" si="2"/>
        <v>-4.605170185988091</v>
      </c>
      <c r="O152" s="50">
        <f t="shared" si="3"/>
        <v>-0.04605170185988091</v>
      </c>
      <c r="P152" s="51">
        <f t="shared" si="4"/>
        <v>0.0001</v>
      </c>
    </row>
    <row r="153" spans="7:16" ht="15.75">
      <c r="G153" s="10">
        <v>13</v>
      </c>
      <c r="H153" s="53" t="s">
        <v>7</v>
      </c>
      <c r="I153" s="49" t="s">
        <v>91</v>
      </c>
      <c r="J153" s="53" t="s">
        <v>12</v>
      </c>
      <c r="K153" s="52" t="s">
        <v>13</v>
      </c>
      <c r="L153" s="10">
        <v>16</v>
      </c>
      <c r="M153" s="50">
        <f t="shared" si="1"/>
        <v>0.08</v>
      </c>
      <c r="N153" s="50">
        <f t="shared" si="2"/>
        <v>-2.5257286443082556</v>
      </c>
      <c r="O153" s="50">
        <f t="shared" si="3"/>
        <v>-0.20205829154466046</v>
      </c>
      <c r="P153" s="51">
        <f t="shared" si="4"/>
        <v>0.0064</v>
      </c>
    </row>
    <row r="154" spans="7:16" ht="15.75">
      <c r="G154" s="10">
        <v>14</v>
      </c>
      <c r="H154" s="53" t="s">
        <v>7</v>
      </c>
      <c r="I154" s="54" t="s">
        <v>94</v>
      </c>
      <c r="J154" s="55" t="s">
        <v>57</v>
      </c>
      <c r="K154" s="55" t="s">
        <v>58</v>
      </c>
      <c r="L154" s="10">
        <v>4</v>
      </c>
      <c r="M154" s="50">
        <f t="shared" si="1"/>
        <v>0.02</v>
      </c>
      <c r="N154" s="50">
        <f t="shared" si="2"/>
        <v>-3.912023005428146</v>
      </c>
      <c r="O154" s="50">
        <f t="shared" si="3"/>
        <v>-0.07824046010856292</v>
      </c>
      <c r="P154" s="51">
        <f t="shared" si="4"/>
        <v>0.0004</v>
      </c>
    </row>
    <row r="155" spans="7:16" ht="15.75">
      <c r="G155" s="10">
        <v>15</v>
      </c>
      <c r="H155" s="56" t="s">
        <v>22</v>
      </c>
      <c r="I155" s="53" t="s">
        <v>95</v>
      </c>
      <c r="J155" s="53" t="s">
        <v>25</v>
      </c>
      <c r="K155" s="52" t="s">
        <v>69</v>
      </c>
      <c r="L155" s="10">
        <v>5</v>
      </c>
      <c r="M155" s="50">
        <f t="shared" si="1"/>
        <v>0.025</v>
      </c>
      <c r="N155" s="50">
        <f t="shared" si="2"/>
        <v>-3.6888794541139363</v>
      </c>
      <c r="O155" s="50">
        <f t="shared" si="3"/>
        <v>-0.09222198635284841</v>
      </c>
      <c r="P155" s="51">
        <f t="shared" si="4"/>
        <v>0.0006250000000000001</v>
      </c>
    </row>
    <row r="156" spans="7:16" ht="15">
      <c r="G156" s="10">
        <v>16</v>
      </c>
      <c r="H156" s="56" t="s">
        <v>22</v>
      </c>
      <c r="I156" s="53" t="s">
        <v>93</v>
      </c>
      <c r="J156" s="53" t="s">
        <v>11</v>
      </c>
      <c r="K156" s="53" t="s">
        <v>60</v>
      </c>
      <c r="L156" s="10">
        <v>12</v>
      </c>
      <c r="M156" s="50">
        <f t="shared" si="1"/>
        <v>0.06</v>
      </c>
      <c r="N156" s="50">
        <f t="shared" si="2"/>
        <v>-2.8134107167600364</v>
      </c>
      <c r="O156" s="50">
        <f t="shared" si="3"/>
        <v>-0.1688046430056022</v>
      </c>
      <c r="P156" s="51">
        <f t="shared" si="4"/>
        <v>0.0036</v>
      </c>
    </row>
    <row r="157" spans="7:16" ht="15.75">
      <c r="G157" s="10">
        <v>17</v>
      </c>
      <c r="H157" s="56" t="s">
        <v>19</v>
      </c>
      <c r="I157" s="53" t="s">
        <v>93</v>
      </c>
      <c r="J157" s="52" t="s">
        <v>11</v>
      </c>
      <c r="K157" s="52" t="s">
        <v>67</v>
      </c>
      <c r="L157" s="10">
        <v>9</v>
      </c>
      <c r="M157" s="50">
        <f t="shared" si="1"/>
        <v>0.045</v>
      </c>
      <c r="N157" s="50">
        <f t="shared" si="2"/>
        <v>-3.101092789211817</v>
      </c>
      <c r="O157" s="50">
        <f t="shared" si="3"/>
        <v>-0.13954917551453178</v>
      </c>
      <c r="P157" s="51">
        <f t="shared" si="4"/>
        <v>0.002025</v>
      </c>
    </row>
    <row r="158" spans="7:16" ht="15">
      <c r="G158" s="170" t="s">
        <v>82</v>
      </c>
      <c r="H158" s="170"/>
      <c r="I158" s="170"/>
      <c r="J158" s="170"/>
      <c r="K158" s="170"/>
      <c r="L158" s="26">
        <f>SUM(L141:L157)</f>
        <v>200</v>
      </c>
      <c r="M158" s="26"/>
      <c r="N158" s="26"/>
      <c r="O158" s="57">
        <f>SUM(O141:O157)</f>
        <v>-2.653121493724467</v>
      </c>
      <c r="P158" s="58">
        <f>SUM(P141:P157)</f>
        <v>0.07990000000000001</v>
      </c>
    </row>
    <row r="159" spans="7:16" ht="15.75">
      <c r="G159" s="166" t="s">
        <v>83</v>
      </c>
      <c r="H159" s="166"/>
      <c r="I159" s="166"/>
      <c r="J159" s="166"/>
      <c r="K159" s="166"/>
      <c r="L159" s="38"/>
      <c r="M159" s="39"/>
      <c r="N159" s="39"/>
      <c r="O159" s="40">
        <f>-(O158)</f>
        <v>2.653121493724467</v>
      </c>
      <c r="P159" s="39"/>
    </row>
    <row r="160" spans="7:16" ht="15.75">
      <c r="G160" s="167" t="s">
        <v>84</v>
      </c>
      <c r="H160" s="167"/>
      <c r="I160" s="167"/>
      <c r="J160" s="167"/>
      <c r="K160" s="167"/>
      <c r="L160" s="41"/>
      <c r="M160" s="42"/>
      <c r="N160" s="42"/>
      <c r="O160" s="43">
        <f>O159/LN(12)</f>
        <v>1.067694633096506</v>
      </c>
      <c r="P160" s="42"/>
    </row>
    <row r="161" spans="7:16" ht="15.75">
      <c r="G161" s="168" t="s">
        <v>85</v>
      </c>
      <c r="H161" s="168"/>
      <c r="I161" s="168"/>
      <c r="J161" s="168"/>
      <c r="K161" s="168"/>
      <c r="L161" s="44"/>
      <c r="M161" s="45"/>
      <c r="N161" s="45"/>
      <c r="O161" s="46">
        <f>P158</f>
        <v>0.07990000000000001</v>
      </c>
      <c r="P161" s="45"/>
    </row>
    <row r="165" ht="15.75" thickBot="1"/>
    <row r="166" spans="7:14" ht="16.5" thickBot="1">
      <c r="G166" s="91" t="s">
        <v>108</v>
      </c>
      <c r="H166" s="91" t="s">
        <v>127</v>
      </c>
      <c r="J166" s="96" t="s">
        <v>108</v>
      </c>
      <c r="K166" s="96" t="s">
        <v>129</v>
      </c>
      <c r="M166" s="96" t="s">
        <v>108</v>
      </c>
      <c r="N166" s="96" t="s">
        <v>129</v>
      </c>
    </row>
    <row r="167" spans="7:14" ht="16.5" thickBot="1">
      <c r="G167" s="92">
        <v>1</v>
      </c>
      <c r="H167" s="93">
        <v>2.2</v>
      </c>
      <c r="J167" s="97">
        <v>1</v>
      </c>
      <c r="K167" s="97">
        <v>0.9</v>
      </c>
      <c r="M167" s="97">
        <v>1</v>
      </c>
      <c r="N167" s="99">
        <v>0.15</v>
      </c>
    </row>
    <row r="168" spans="7:14" ht="15.75">
      <c r="G168" s="92">
        <v>2</v>
      </c>
      <c r="H168" s="93">
        <v>2.3</v>
      </c>
      <c r="J168" s="97">
        <v>2</v>
      </c>
      <c r="K168" s="97">
        <v>0.91</v>
      </c>
      <c r="M168" s="97">
        <v>2</v>
      </c>
      <c r="N168" s="100">
        <v>0.16</v>
      </c>
    </row>
    <row r="169" spans="7:14" ht="15.75">
      <c r="G169" s="92">
        <v>3</v>
      </c>
      <c r="H169" s="93">
        <v>2.7</v>
      </c>
      <c r="J169" s="97">
        <v>3</v>
      </c>
      <c r="K169" s="97">
        <v>1.07</v>
      </c>
      <c r="M169" s="97">
        <v>3</v>
      </c>
      <c r="N169" s="100">
        <v>0.08</v>
      </c>
    </row>
    <row r="170" spans="7:14" ht="15.75">
      <c r="G170" s="92">
        <v>4</v>
      </c>
      <c r="H170" s="93">
        <v>2.3</v>
      </c>
      <c r="J170" s="97">
        <v>4</v>
      </c>
      <c r="K170" s="97">
        <v>0.94</v>
      </c>
      <c r="M170" s="97">
        <v>4</v>
      </c>
      <c r="N170" s="100">
        <v>0.11</v>
      </c>
    </row>
    <row r="171" spans="7:14" ht="16.5" thickBot="1">
      <c r="G171" s="92">
        <v>5</v>
      </c>
      <c r="H171" s="93">
        <v>1.9</v>
      </c>
      <c r="J171" s="97">
        <v>5</v>
      </c>
      <c r="K171" s="97">
        <v>0.78</v>
      </c>
      <c r="M171" s="97">
        <v>5</v>
      </c>
      <c r="N171" s="101">
        <v>0.11</v>
      </c>
    </row>
    <row r="172" spans="7:14" ht="16.5" thickBot="1">
      <c r="G172" s="94" t="s">
        <v>128</v>
      </c>
      <c r="H172" s="95">
        <f>AVERAGE(H167:H171)</f>
        <v>2.2800000000000002</v>
      </c>
      <c r="J172" s="98" t="s">
        <v>128</v>
      </c>
      <c r="K172" s="98">
        <f>AVERAGE(K167:K171)</f>
        <v>0.9199999999999999</v>
      </c>
      <c r="M172" s="98" t="s">
        <v>128</v>
      </c>
      <c r="N172">
        <f>AVERAGE(N167:N171)</f>
        <v>0.122</v>
      </c>
    </row>
  </sheetData>
  <mergeCells count="7">
    <mergeCell ref="G161:K161"/>
    <mergeCell ref="G158:K158"/>
    <mergeCell ref="A1:C1"/>
    <mergeCell ref="A2:B2"/>
    <mergeCell ref="A3:B3"/>
    <mergeCell ref="G159:K159"/>
    <mergeCell ref="G160:K16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5"/>
  <sheetViews>
    <sheetView zoomScale="70" zoomScaleNormal="70" workbookViewId="0" topLeftCell="A1">
      <pane ySplit="1635" topLeftCell="A94" activePane="bottomLeft" state="split"/>
      <selection pane="bottomLeft" activeCell="F97" sqref="F97:O115"/>
    </sheetView>
  </sheetViews>
  <sheetFormatPr defaultColWidth="9.140625" defaultRowHeight="15"/>
  <cols>
    <col min="1" max="1" width="12.57421875" style="2" customWidth="1"/>
    <col min="2" max="2" width="10.8515625" style="2" customWidth="1"/>
    <col min="3" max="3" width="13.140625" style="2" customWidth="1"/>
    <col min="4" max="4" width="21.8515625" style="2" customWidth="1"/>
    <col min="5" max="5" width="15.7109375" style="2" customWidth="1"/>
    <col min="6" max="7" width="9.140625" style="2" customWidth="1"/>
    <col min="8" max="8" width="10.8515625" style="2" customWidth="1"/>
    <col min="9" max="9" width="9.140625" style="2" customWidth="1"/>
    <col min="10" max="10" width="18.00390625" style="2" customWidth="1"/>
    <col min="11" max="11" width="11.140625" style="2" customWidth="1"/>
    <col min="12" max="12" width="14.140625" style="2" customWidth="1"/>
    <col min="13" max="13" width="12.00390625" style="2" customWidth="1"/>
    <col min="14" max="14" width="9.140625" style="2" customWidth="1"/>
    <col min="15" max="15" width="10.421875" style="2" customWidth="1"/>
    <col min="16" max="16384" width="9.140625" style="2" customWidth="1"/>
  </cols>
  <sheetData>
    <row r="1" spans="1:9" ht="15">
      <c r="A1" s="171" t="s">
        <v>0</v>
      </c>
      <c r="B1" s="171"/>
      <c r="C1" s="171"/>
      <c r="D1" s="1" t="s">
        <v>15</v>
      </c>
      <c r="E1" s="5" t="s">
        <v>41</v>
      </c>
      <c r="F1" s="5" t="s">
        <v>46</v>
      </c>
      <c r="I1" s="13" t="s">
        <v>72</v>
      </c>
    </row>
    <row r="2" spans="1:9" ht="15">
      <c r="A2" s="171" t="s">
        <v>1</v>
      </c>
      <c r="B2" s="171"/>
      <c r="C2" s="4">
        <v>0.6743055555555556</v>
      </c>
      <c r="D2" s="1"/>
      <c r="E2" s="5" t="s">
        <v>42</v>
      </c>
      <c r="F2" s="5" t="s">
        <v>47</v>
      </c>
      <c r="I2" s="13" t="s">
        <v>76</v>
      </c>
    </row>
    <row r="3" spans="1:4" ht="15">
      <c r="A3" s="171" t="s">
        <v>45</v>
      </c>
      <c r="B3" s="171"/>
      <c r="C3" s="1">
        <v>4</v>
      </c>
      <c r="D3" s="1"/>
    </row>
    <row r="5" spans="1:40" ht="38.25">
      <c r="A5" s="15" t="s">
        <v>2</v>
      </c>
      <c r="B5" s="15" t="s">
        <v>6</v>
      </c>
      <c r="C5" s="15" t="s">
        <v>3</v>
      </c>
      <c r="D5" s="15" t="s">
        <v>4</v>
      </c>
      <c r="E5" s="15" t="s">
        <v>5</v>
      </c>
      <c r="H5" s="102" t="s">
        <v>130</v>
      </c>
      <c r="I5" s="103" t="s">
        <v>101</v>
      </c>
      <c r="J5" s="103" t="s">
        <v>112</v>
      </c>
      <c r="K5" s="104" t="s">
        <v>64</v>
      </c>
      <c r="L5" s="104" t="s">
        <v>102</v>
      </c>
      <c r="M5" s="103" t="s">
        <v>113</v>
      </c>
      <c r="N5" s="104" t="s">
        <v>114</v>
      </c>
      <c r="O5" s="103" t="s">
        <v>103</v>
      </c>
      <c r="P5" s="103" t="s">
        <v>104</v>
      </c>
      <c r="Q5" s="104" t="s">
        <v>37</v>
      </c>
      <c r="R5" s="104" t="s">
        <v>34</v>
      </c>
      <c r="S5" s="104" t="s">
        <v>18</v>
      </c>
      <c r="T5" s="104" t="s">
        <v>30</v>
      </c>
      <c r="U5" s="103" t="s">
        <v>68</v>
      </c>
      <c r="V5" s="103" t="s">
        <v>115</v>
      </c>
      <c r="W5" s="103" t="s">
        <v>116</v>
      </c>
      <c r="X5" s="103" t="s">
        <v>117</v>
      </c>
      <c r="Y5" s="103" t="s">
        <v>118</v>
      </c>
      <c r="Z5" s="103" t="s">
        <v>119</v>
      </c>
      <c r="AA5" s="103" t="s">
        <v>120</v>
      </c>
      <c r="AB5" s="103" t="s">
        <v>121</v>
      </c>
      <c r="AC5" s="104" t="s">
        <v>55</v>
      </c>
      <c r="AD5" s="104" t="s">
        <v>13</v>
      </c>
      <c r="AE5" s="103" t="s">
        <v>122</v>
      </c>
      <c r="AF5" s="105" t="s">
        <v>97</v>
      </c>
      <c r="AG5" s="104" t="s">
        <v>123</v>
      </c>
      <c r="AH5" s="104" t="s">
        <v>58</v>
      </c>
      <c r="AI5" s="104" t="s">
        <v>69</v>
      </c>
      <c r="AJ5" s="104" t="s">
        <v>124</v>
      </c>
      <c r="AK5" s="103" t="s">
        <v>125</v>
      </c>
      <c r="AL5" s="104" t="s">
        <v>60</v>
      </c>
      <c r="AM5" s="106" t="s">
        <v>126</v>
      </c>
      <c r="AN5"/>
    </row>
    <row r="6" spans="1:40" ht="15">
      <c r="A6" s="15">
        <v>1</v>
      </c>
      <c r="B6" s="15" t="s">
        <v>7</v>
      </c>
      <c r="C6" s="15" t="s">
        <v>8</v>
      </c>
      <c r="D6" s="15" t="s">
        <v>9</v>
      </c>
      <c r="E6" s="15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/>
    </row>
    <row r="7" spans="1:40" ht="15">
      <c r="A7" s="15">
        <v>2</v>
      </c>
      <c r="B7" s="15">
        <v>0</v>
      </c>
      <c r="C7" s="15"/>
      <c r="D7" s="15"/>
      <c r="E7" s="15"/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/>
    </row>
    <row r="8" spans="1:40" ht="15">
      <c r="A8" s="15">
        <v>3</v>
      </c>
      <c r="B8" s="15">
        <v>0</v>
      </c>
      <c r="C8" s="15"/>
      <c r="D8" s="15"/>
      <c r="E8" s="15"/>
      <c r="H8">
        <v>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/>
    </row>
    <row r="9" spans="1:40" ht="15">
      <c r="A9" s="15">
        <v>4</v>
      </c>
      <c r="B9" s="15">
        <v>0</v>
      </c>
      <c r="C9" s="15"/>
      <c r="D9" s="15"/>
      <c r="E9" s="15"/>
      <c r="H9">
        <v>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/>
    </row>
    <row r="10" spans="1:40" ht="15">
      <c r="A10" s="15">
        <v>5</v>
      </c>
      <c r="B10" s="15">
        <v>0</v>
      </c>
      <c r="C10" s="15"/>
      <c r="D10" s="15"/>
      <c r="E10" s="15"/>
      <c r="H10">
        <v>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/>
    </row>
    <row r="11" spans="1:40" ht="15">
      <c r="A11" s="15">
        <v>6</v>
      </c>
      <c r="B11" s="15">
        <v>0</v>
      </c>
      <c r="C11" s="15"/>
      <c r="D11" s="15"/>
      <c r="E11" s="15"/>
      <c r="H11">
        <v>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/>
    </row>
    <row r="12" spans="1:40" ht="15">
      <c r="A12" s="15">
        <v>7</v>
      </c>
      <c r="B12" s="15">
        <v>0</v>
      </c>
      <c r="C12" s="15"/>
      <c r="D12" s="15"/>
      <c r="E12" s="15"/>
      <c r="H12">
        <v>7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/>
    </row>
    <row r="13" spans="1:40" ht="15">
      <c r="A13" s="15">
        <v>8</v>
      </c>
      <c r="B13" s="15">
        <v>0</v>
      </c>
      <c r="C13" s="15"/>
      <c r="D13" s="15"/>
      <c r="E13" s="15"/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/>
    </row>
    <row r="14" spans="1:40" ht="15">
      <c r="A14" s="15">
        <v>9</v>
      </c>
      <c r="B14" s="15">
        <v>0</v>
      </c>
      <c r="C14" s="15"/>
      <c r="D14" s="15"/>
      <c r="E14" s="15"/>
      <c r="H14">
        <v>9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/>
    </row>
    <row r="15" spans="1:40" ht="15">
      <c r="A15" s="15">
        <v>10</v>
      </c>
      <c r="B15" s="15">
        <v>0</v>
      </c>
      <c r="C15" s="15"/>
      <c r="D15" s="15"/>
      <c r="E15" s="15"/>
      <c r="H15">
        <v>10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/>
    </row>
    <row r="16" spans="1:40" ht="15">
      <c r="A16" s="15">
        <v>11</v>
      </c>
      <c r="B16" s="15">
        <v>0</v>
      </c>
      <c r="C16" s="15"/>
      <c r="D16" s="15"/>
      <c r="E16" s="15"/>
      <c r="H16">
        <v>11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/>
    </row>
    <row r="17" spans="1:40" ht="15">
      <c r="A17" s="15">
        <v>12</v>
      </c>
      <c r="B17" s="15">
        <v>0</v>
      </c>
      <c r="C17" s="15"/>
      <c r="D17" s="15"/>
      <c r="E17" s="15"/>
      <c r="H17">
        <v>12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/>
    </row>
    <row r="18" spans="1:40" ht="15">
      <c r="A18" s="15">
        <v>13</v>
      </c>
      <c r="B18" s="15" t="s">
        <v>7</v>
      </c>
      <c r="C18" s="15" t="s">
        <v>8</v>
      </c>
      <c r="D18" s="15" t="s">
        <v>18</v>
      </c>
      <c r="E18" s="15">
        <v>2</v>
      </c>
      <c r="H18">
        <v>13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/>
    </row>
    <row r="19" spans="1:40" ht="15">
      <c r="A19" s="15">
        <v>14</v>
      </c>
      <c r="B19" s="15">
        <v>0</v>
      </c>
      <c r="C19" s="15"/>
      <c r="D19" s="15"/>
      <c r="E19" s="15"/>
      <c r="H19">
        <v>14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/>
    </row>
    <row r="20" spans="1:40" ht="15">
      <c r="A20" s="15">
        <v>15</v>
      </c>
      <c r="B20" s="15">
        <v>0</v>
      </c>
      <c r="C20" s="15"/>
      <c r="D20" s="15"/>
      <c r="E20" s="15"/>
      <c r="H20">
        <v>15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/>
    </row>
    <row r="21" spans="1:40" ht="15">
      <c r="A21" s="15">
        <v>16</v>
      </c>
      <c r="B21" s="15">
        <v>0</v>
      </c>
      <c r="C21" s="15"/>
      <c r="D21" s="15"/>
      <c r="E21" s="15"/>
      <c r="H21">
        <v>16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/>
    </row>
    <row r="22" spans="1:40" ht="15">
      <c r="A22" s="15">
        <v>17</v>
      </c>
      <c r="B22" s="15">
        <v>0</v>
      </c>
      <c r="C22" s="15"/>
      <c r="D22" s="15"/>
      <c r="E22" s="15"/>
      <c r="H22">
        <v>17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/>
    </row>
    <row r="23" spans="1:40" ht="15">
      <c r="A23" s="15">
        <v>18</v>
      </c>
      <c r="B23" s="15">
        <v>0</v>
      </c>
      <c r="C23" s="15"/>
      <c r="D23" s="15"/>
      <c r="E23" s="15"/>
      <c r="H23">
        <v>18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/>
    </row>
    <row r="24" spans="1:40" ht="15">
      <c r="A24" s="15">
        <v>19</v>
      </c>
      <c r="B24" s="15">
        <v>0</v>
      </c>
      <c r="C24" s="15"/>
      <c r="D24" s="15"/>
      <c r="E24" s="15"/>
      <c r="H24">
        <v>19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/>
    </row>
    <row r="25" spans="1:40" ht="15">
      <c r="A25" s="15">
        <v>20</v>
      </c>
      <c r="B25" s="15">
        <v>0</v>
      </c>
      <c r="C25" s="15"/>
      <c r="D25" s="15"/>
      <c r="E25" s="15"/>
      <c r="H25">
        <v>20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/>
    </row>
    <row r="26" spans="1:40" ht="15">
      <c r="A26" s="15">
        <v>21</v>
      </c>
      <c r="B26" s="15">
        <v>0</v>
      </c>
      <c r="C26" s="15"/>
      <c r="D26" s="15"/>
      <c r="E26" s="15"/>
      <c r="H26">
        <v>21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/>
    </row>
    <row r="27" spans="1:40" ht="15">
      <c r="A27" s="15">
        <v>22</v>
      </c>
      <c r="B27" s="15">
        <v>0</v>
      </c>
      <c r="C27" s="15"/>
      <c r="D27" s="15"/>
      <c r="E27" s="15"/>
      <c r="H27">
        <v>22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/>
    </row>
    <row r="28" spans="1:40" ht="15">
      <c r="A28" s="15">
        <v>23</v>
      </c>
      <c r="B28" s="15">
        <v>0</v>
      </c>
      <c r="C28" s="15"/>
      <c r="D28" s="15"/>
      <c r="E28" s="15"/>
      <c r="H28">
        <v>23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/>
    </row>
    <row r="29" spans="1:40" ht="15">
      <c r="A29" s="15">
        <v>24</v>
      </c>
      <c r="B29" s="15">
        <v>0</v>
      </c>
      <c r="C29" s="15"/>
      <c r="D29" s="15"/>
      <c r="E29" s="15"/>
      <c r="H29">
        <v>24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/>
    </row>
    <row r="30" spans="1:40" ht="15">
      <c r="A30" s="15">
        <v>25</v>
      </c>
      <c r="B30" s="15">
        <v>0</v>
      </c>
      <c r="C30" s="15"/>
      <c r="D30" s="15"/>
      <c r="E30" s="15"/>
      <c r="H30">
        <v>25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/>
    </row>
    <row r="31" spans="1:40" ht="15">
      <c r="A31" s="15">
        <v>26</v>
      </c>
      <c r="B31" s="15">
        <v>0</v>
      </c>
      <c r="C31" s="15"/>
      <c r="D31" s="15"/>
      <c r="E31" s="15"/>
      <c r="H31">
        <v>26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/>
    </row>
    <row r="32" spans="1:40" ht="15">
      <c r="A32" s="15">
        <v>27</v>
      </c>
      <c r="B32" s="15">
        <v>0</v>
      </c>
      <c r="C32" s="15"/>
      <c r="D32" s="15"/>
      <c r="E32" s="15"/>
      <c r="H32">
        <v>27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/>
    </row>
    <row r="33" spans="1:40" ht="15">
      <c r="A33" s="15">
        <v>28</v>
      </c>
      <c r="B33" s="15" t="s">
        <v>7</v>
      </c>
      <c r="C33" s="15" t="s">
        <v>8</v>
      </c>
      <c r="D33" s="15" t="s">
        <v>18</v>
      </c>
      <c r="E33" s="15">
        <v>2</v>
      </c>
      <c r="H33">
        <v>28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/>
    </row>
    <row r="34" spans="1:40" ht="15">
      <c r="A34" s="15">
        <v>29</v>
      </c>
      <c r="B34" s="15">
        <v>0</v>
      </c>
      <c r="C34" s="15"/>
      <c r="D34" s="15"/>
      <c r="E34" s="15"/>
      <c r="H34">
        <v>29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/>
    </row>
    <row r="35" spans="1:40" ht="15">
      <c r="A35" s="15">
        <v>30</v>
      </c>
      <c r="B35" s="15">
        <v>0</v>
      </c>
      <c r="C35" s="15"/>
      <c r="D35" s="15"/>
      <c r="E35" s="15"/>
      <c r="H35">
        <v>30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/>
    </row>
    <row r="36" spans="1:40" ht="15">
      <c r="A36" s="15">
        <v>31</v>
      </c>
      <c r="B36" s="15">
        <v>0</v>
      </c>
      <c r="C36" s="15"/>
      <c r="D36" s="15"/>
      <c r="E36" s="15"/>
      <c r="H36">
        <v>31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/>
    </row>
    <row r="37" spans="1:40" ht="15">
      <c r="A37" s="15">
        <v>32</v>
      </c>
      <c r="B37" s="15">
        <v>0</v>
      </c>
      <c r="C37" s="15"/>
      <c r="D37" s="15"/>
      <c r="E37" s="15"/>
      <c r="H37">
        <v>32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/>
    </row>
    <row r="38" spans="1:40" ht="15">
      <c r="A38" s="15">
        <v>33</v>
      </c>
      <c r="B38" s="15" t="s">
        <v>7</v>
      </c>
      <c r="C38" s="15" t="s">
        <v>8</v>
      </c>
      <c r="D38" s="15" t="s">
        <v>18</v>
      </c>
      <c r="E38" s="15">
        <v>1</v>
      </c>
      <c r="H38">
        <v>33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/>
    </row>
    <row r="39" spans="1:40" ht="15">
      <c r="A39" s="15">
        <v>34</v>
      </c>
      <c r="B39" s="15">
        <v>0</v>
      </c>
      <c r="C39" s="15"/>
      <c r="D39" s="15"/>
      <c r="E39" s="15"/>
      <c r="H39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/>
    </row>
    <row r="40" spans="1:40" ht="15">
      <c r="A40" s="15">
        <v>35</v>
      </c>
      <c r="B40" s="15">
        <v>0</v>
      </c>
      <c r="C40" s="15"/>
      <c r="D40" s="15"/>
      <c r="E40" s="15"/>
      <c r="H40">
        <v>35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/>
    </row>
    <row r="41" spans="1:40" ht="15">
      <c r="A41" s="15">
        <v>36</v>
      </c>
      <c r="B41" s="15" t="s">
        <v>7</v>
      </c>
      <c r="C41" s="15" t="s">
        <v>8</v>
      </c>
      <c r="D41" s="15" t="s">
        <v>37</v>
      </c>
      <c r="E41" s="15">
        <v>5</v>
      </c>
      <c r="H41">
        <v>36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5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/>
    </row>
    <row r="42" spans="1:40" ht="15">
      <c r="A42" s="15">
        <v>37</v>
      </c>
      <c r="B42" s="15" t="s">
        <v>19</v>
      </c>
      <c r="C42" s="15" t="s">
        <v>20</v>
      </c>
      <c r="D42" s="15" t="s">
        <v>9</v>
      </c>
      <c r="E42" s="15">
        <v>1</v>
      </c>
      <c r="H42">
        <v>37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/>
    </row>
    <row r="43" spans="1:40" ht="15">
      <c r="A43" s="15">
        <v>38</v>
      </c>
      <c r="B43" s="15" t="s">
        <v>7</v>
      </c>
      <c r="C43" s="15" t="s">
        <v>8</v>
      </c>
      <c r="D43" s="15" t="s">
        <v>37</v>
      </c>
      <c r="E43" s="15">
        <v>7</v>
      </c>
      <c r="H43">
        <v>38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7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1</v>
      </c>
      <c r="AN43"/>
    </row>
    <row r="44" spans="1:40" ht="15">
      <c r="A44" s="15"/>
      <c r="B44" s="15" t="s">
        <v>19</v>
      </c>
      <c r="C44" s="15" t="s">
        <v>11</v>
      </c>
      <c r="D44" s="15" t="s">
        <v>67</v>
      </c>
      <c r="E44" s="15">
        <v>1</v>
      </c>
      <c r="H44">
        <v>39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4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5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/>
    </row>
    <row r="45" spans="1:40" ht="15">
      <c r="A45" s="15">
        <v>39</v>
      </c>
      <c r="B45" s="15" t="s">
        <v>7</v>
      </c>
      <c r="C45" s="15" t="s">
        <v>8</v>
      </c>
      <c r="D45" s="15" t="s">
        <v>37</v>
      </c>
      <c r="E45" s="15">
        <v>4</v>
      </c>
      <c r="H45">
        <v>40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/>
    </row>
    <row r="46" spans="1:40" ht="15">
      <c r="A46" s="15"/>
      <c r="B46" s="15" t="s">
        <v>7</v>
      </c>
      <c r="C46" s="15" t="s">
        <v>12</v>
      </c>
      <c r="D46" s="15" t="s">
        <v>24</v>
      </c>
      <c r="E46" s="15">
        <v>5</v>
      </c>
      <c r="H46">
        <v>41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/>
    </row>
    <row r="47" spans="1:40" ht="15">
      <c r="A47" s="15">
        <v>40</v>
      </c>
      <c r="B47" s="15" t="s">
        <v>22</v>
      </c>
      <c r="C47" s="15" t="s">
        <v>21</v>
      </c>
      <c r="D47" s="15" t="s">
        <v>9</v>
      </c>
      <c r="E47" s="15">
        <v>1</v>
      </c>
      <c r="H47">
        <v>42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1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/>
    </row>
    <row r="48" spans="1:40" ht="15">
      <c r="A48" s="15">
        <v>41</v>
      </c>
      <c r="B48" s="15" t="s">
        <v>7</v>
      </c>
      <c r="C48" s="15" t="s">
        <v>12</v>
      </c>
      <c r="D48" s="15" t="s">
        <v>24</v>
      </c>
      <c r="E48" s="15">
        <v>1</v>
      </c>
      <c r="H48">
        <v>43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/>
    </row>
    <row r="49" spans="1:40" ht="15">
      <c r="A49" s="15">
        <v>42</v>
      </c>
      <c r="B49" s="15" t="s">
        <v>7</v>
      </c>
      <c r="C49" s="15" t="s">
        <v>8</v>
      </c>
      <c r="D49" s="15" t="s">
        <v>9</v>
      </c>
      <c r="E49" s="15">
        <v>1</v>
      </c>
      <c r="H49">
        <v>44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3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2</v>
      </c>
      <c r="AM49">
        <v>0</v>
      </c>
      <c r="AN49"/>
    </row>
    <row r="50" spans="1:40" ht="15">
      <c r="A50" s="15"/>
      <c r="B50" s="15" t="s">
        <v>7</v>
      </c>
      <c r="C50" s="15" t="s">
        <v>8</v>
      </c>
      <c r="D50" s="15" t="s">
        <v>18</v>
      </c>
      <c r="E50" s="15">
        <v>1</v>
      </c>
      <c r="H50">
        <v>45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2</v>
      </c>
      <c r="W50">
        <v>0</v>
      </c>
      <c r="X50">
        <v>0</v>
      </c>
      <c r="Y50">
        <v>0</v>
      </c>
      <c r="Z50">
        <v>0</v>
      </c>
      <c r="AA50">
        <v>4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7</v>
      </c>
      <c r="AM50">
        <v>0</v>
      </c>
      <c r="AN50"/>
    </row>
    <row r="51" spans="1:40" ht="15">
      <c r="A51" s="15">
        <v>43</v>
      </c>
      <c r="B51" s="15" t="s">
        <v>7</v>
      </c>
      <c r="C51" s="15" t="s">
        <v>14</v>
      </c>
      <c r="D51" s="15" t="s">
        <v>9</v>
      </c>
      <c r="E51" s="15">
        <v>1</v>
      </c>
      <c r="H51">
        <v>46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</v>
      </c>
      <c r="T51">
        <v>0</v>
      </c>
      <c r="U51">
        <v>1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2</v>
      </c>
      <c r="AK51">
        <v>0</v>
      </c>
      <c r="AL51">
        <v>0</v>
      </c>
      <c r="AM51">
        <v>0</v>
      </c>
      <c r="AN51"/>
    </row>
    <row r="52" spans="1:40" ht="15">
      <c r="A52" s="15"/>
      <c r="B52" s="15" t="s">
        <v>19</v>
      </c>
      <c r="C52" s="15" t="s">
        <v>20</v>
      </c>
      <c r="D52" s="15" t="s">
        <v>9</v>
      </c>
      <c r="E52" s="15">
        <v>3</v>
      </c>
      <c r="H52">
        <v>47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/>
    </row>
    <row r="53" spans="1:40" ht="15">
      <c r="A53" s="15">
        <v>44</v>
      </c>
      <c r="B53" s="15" t="s">
        <v>7</v>
      </c>
      <c r="C53" s="15" t="s">
        <v>12</v>
      </c>
      <c r="D53" s="15" t="s">
        <v>24</v>
      </c>
      <c r="E53" s="15">
        <v>3</v>
      </c>
      <c r="H53">
        <v>48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/>
    </row>
    <row r="54" spans="1:40" ht="15">
      <c r="A54" s="15"/>
      <c r="B54" s="15" t="s">
        <v>22</v>
      </c>
      <c r="C54" s="15" t="s">
        <v>11</v>
      </c>
      <c r="D54" s="15" t="s">
        <v>60</v>
      </c>
      <c r="E54" s="15">
        <v>2</v>
      </c>
      <c r="H54">
        <v>49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11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/>
    </row>
    <row r="55" spans="1:40" ht="15">
      <c r="A55" s="15">
        <v>45</v>
      </c>
      <c r="B55" s="15" t="s">
        <v>7</v>
      </c>
      <c r="C55" s="15" t="s">
        <v>8</v>
      </c>
      <c r="D55" s="15" t="s">
        <v>16</v>
      </c>
      <c r="E55" s="15">
        <v>2</v>
      </c>
      <c r="H55">
        <v>50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/>
    </row>
    <row r="56" spans="1:40" ht="15">
      <c r="A56" s="15"/>
      <c r="B56" s="15" t="s">
        <v>7</v>
      </c>
      <c r="C56" s="15" t="s">
        <v>17</v>
      </c>
      <c r="D56" s="15" t="s">
        <v>23</v>
      </c>
      <c r="E56" s="15">
        <v>4</v>
      </c>
      <c r="H56">
        <v>51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4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/>
    </row>
    <row r="57" spans="1:40" ht="15">
      <c r="A57" s="15"/>
      <c r="B57" s="15" t="s">
        <v>22</v>
      </c>
      <c r="C57" s="15" t="s">
        <v>11</v>
      </c>
      <c r="D57" s="15" t="s">
        <v>60</v>
      </c>
      <c r="E57" s="15">
        <v>7</v>
      </c>
      <c r="H57">
        <v>52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1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/>
    </row>
    <row r="58" spans="1:40" ht="15">
      <c r="A58" s="15">
        <v>46</v>
      </c>
      <c r="B58" s="15" t="s">
        <v>7</v>
      </c>
      <c r="C58" s="15" t="s">
        <v>8</v>
      </c>
      <c r="D58" s="15" t="s">
        <v>18</v>
      </c>
      <c r="E58" s="15">
        <v>4</v>
      </c>
      <c r="H58">
        <v>53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1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/>
    </row>
    <row r="59" spans="1:40" ht="15">
      <c r="A59" s="15"/>
      <c r="B59" s="15" t="s">
        <v>7</v>
      </c>
      <c r="C59" s="15" t="s">
        <v>8</v>
      </c>
      <c r="D59" s="15" t="s">
        <v>9</v>
      </c>
      <c r="E59" s="15">
        <v>1</v>
      </c>
      <c r="H59">
        <v>54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/>
    </row>
    <row r="60" spans="1:40" ht="15">
      <c r="A60" s="15"/>
      <c r="B60" s="15" t="s">
        <v>22</v>
      </c>
      <c r="C60" s="15" t="s">
        <v>25</v>
      </c>
      <c r="D60" s="15" t="s">
        <v>67</v>
      </c>
      <c r="E60" s="15">
        <v>2</v>
      </c>
      <c r="H60">
        <v>55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2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/>
    </row>
    <row r="61" spans="1:40" ht="15">
      <c r="A61" s="15">
        <v>47</v>
      </c>
      <c r="B61" s="15" t="s">
        <v>7</v>
      </c>
      <c r="C61" s="15" t="s">
        <v>8</v>
      </c>
      <c r="D61" s="15" t="s">
        <v>18</v>
      </c>
      <c r="E61" s="15">
        <v>3</v>
      </c>
      <c r="H61">
        <v>56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3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/>
    </row>
    <row r="62" spans="1:40" ht="15">
      <c r="A62" s="15">
        <v>48</v>
      </c>
      <c r="B62" s="15">
        <v>0</v>
      </c>
      <c r="C62" s="15"/>
      <c r="D62" s="15"/>
      <c r="E62" s="15"/>
      <c r="H62">
        <v>57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5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/>
    </row>
    <row r="63" spans="1:40" ht="15">
      <c r="A63" s="15">
        <v>49</v>
      </c>
      <c r="B63" s="15" t="s">
        <v>7</v>
      </c>
      <c r="C63" s="15" t="s">
        <v>8</v>
      </c>
      <c r="D63" s="15" t="s">
        <v>68</v>
      </c>
      <c r="E63" s="15">
        <v>11</v>
      </c>
      <c r="H63">
        <v>58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5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/>
    </row>
    <row r="64" spans="1:40" ht="15">
      <c r="A64" s="15"/>
      <c r="B64" s="15" t="s">
        <v>7</v>
      </c>
      <c r="C64" s="15" t="s">
        <v>12</v>
      </c>
      <c r="D64" s="15" t="s">
        <v>24</v>
      </c>
      <c r="E64" s="15">
        <v>1</v>
      </c>
      <c r="H64">
        <v>59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1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/>
    </row>
    <row r="65" spans="1:40" ht="15">
      <c r="A65" s="15">
        <v>50</v>
      </c>
      <c r="B65" s="15">
        <v>0</v>
      </c>
      <c r="C65" s="15"/>
      <c r="D65" s="15"/>
      <c r="E65" s="15"/>
      <c r="H65"/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/>
    </row>
    <row r="66" spans="1:40" ht="15">
      <c r="A66" s="15">
        <v>51</v>
      </c>
      <c r="B66" s="15" t="s">
        <v>7</v>
      </c>
      <c r="C66" s="15" t="s">
        <v>8</v>
      </c>
      <c r="D66" s="15" t="s">
        <v>31</v>
      </c>
      <c r="E66" s="15">
        <v>4</v>
      </c>
      <c r="H66"/>
      <c r="I66">
        <f aca="true" t="shared" si="0" ref="I66:AM66">SUM(I6:I85)</f>
        <v>1</v>
      </c>
      <c r="J66">
        <f ca="1" t="shared" si="0"/>
        <v>0</v>
      </c>
      <c r="K66">
        <f ca="1" t="shared" si="0"/>
        <v>0</v>
      </c>
      <c r="L66">
        <f ca="1" t="shared" si="0"/>
        <v>0</v>
      </c>
      <c r="M66">
        <f ca="1" t="shared" si="0"/>
        <v>0</v>
      </c>
      <c r="N66">
        <f ca="1" t="shared" si="0"/>
        <v>0</v>
      </c>
      <c r="O66">
        <f ca="1" t="shared" si="0"/>
        <v>4</v>
      </c>
      <c r="P66">
        <f ca="1" t="shared" si="0"/>
        <v>0</v>
      </c>
      <c r="Q66">
        <f ca="1" t="shared" si="0"/>
        <v>16</v>
      </c>
      <c r="R66">
        <f ca="1" t="shared" si="0"/>
        <v>0</v>
      </c>
      <c r="S66">
        <f ca="1" t="shared" si="0"/>
        <v>13</v>
      </c>
      <c r="T66">
        <f ca="1" t="shared" si="0"/>
        <v>14</v>
      </c>
      <c r="U66">
        <f ca="1" t="shared" si="0"/>
        <v>18</v>
      </c>
      <c r="V66">
        <f ca="1" t="shared" si="0"/>
        <v>4</v>
      </c>
      <c r="W66">
        <f ca="1" t="shared" si="0"/>
        <v>0</v>
      </c>
      <c r="X66">
        <f ca="1" t="shared" si="0"/>
        <v>4</v>
      </c>
      <c r="Y66">
        <f ca="1" t="shared" si="0"/>
        <v>1</v>
      </c>
      <c r="Z66">
        <f ca="1" t="shared" si="0"/>
        <v>0</v>
      </c>
      <c r="AA66">
        <f ca="1" t="shared" si="0"/>
        <v>4</v>
      </c>
      <c r="AB66">
        <f ca="1" t="shared" si="0"/>
        <v>0</v>
      </c>
      <c r="AC66">
        <f ca="1" t="shared" si="0"/>
        <v>0</v>
      </c>
      <c r="AD66">
        <f ca="1" t="shared" si="0"/>
        <v>10</v>
      </c>
      <c r="AE66">
        <f ca="1" t="shared" si="0"/>
        <v>0</v>
      </c>
      <c r="AF66">
        <f ca="1" t="shared" si="0"/>
        <v>0</v>
      </c>
      <c r="AG66">
        <f ca="1" t="shared" si="0"/>
        <v>0</v>
      </c>
      <c r="AH66">
        <f ca="1" t="shared" si="0"/>
        <v>0</v>
      </c>
      <c r="AI66">
        <f ca="1" t="shared" si="0"/>
        <v>0</v>
      </c>
      <c r="AJ66">
        <f ca="1" t="shared" si="0"/>
        <v>2</v>
      </c>
      <c r="AK66">
        <f ca="1" t="shared" si="0"/>
        <v>0</v>
      </c>
      <c r="AL66">
        <f ca="1" t="shared" si="0"/>
        <v>9</v>
      </c>
      <c r="AM66">
        <f ca="1" t="shared" si="0"/>
        <v>1</v>
      </c>
      <c r="AN66">
        <f ca="1">SUM(I66:AM66)</f>
        <v>101</v>
      </c>
    </row>
    <row r="67" spans="1:40" ht="15">
      <c r="A67" s="15">
        <v>52</v>
      </c>
      <c r="B67" s="15" t="s">
        <v>7</v>
      </c>
      <c r="C67" s="15" t="s">
        <v>8</v>
      </c>
      <c r="D67" s="15" t="s">
        <v>9</v>
      </c>
      <c r="E67" s="15">
        <v>1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ht="15">
      <c r="A68" s="15">
        <v>53</v>
      </c>
      <c r="B68" s="15" t="s">
        <v>7</v>
      </c>
      <c r="C68" s="15" t="s">
        <v>8</v>
      </c>
      <c r="D68" s="15" t="s">
        <v>9</v>
      </c>
      <c r="E68" s="15">
        <v>1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ht="15">
      <c r="A69" s="15"/>
      <c r="B69" s="15" t="s">
        <v>28</v>
      </c>
      <c r="C69" s="15" t="s">
        <v>8</v>
      </c>
      <c r="D69" s="15" t="s">
        <v>30</v>
      </c>
      <c r="E69" s="15">
        <v>1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15">
      <c r="A70" s="15">
        <v>54</v>
      </c>
      <c r="B70" s="15" t="s">
        <v>7</v>
      </c>
      <c r="C70" s="15" t="s">
        <v>8</v>
      </c>
      <c r="D70" s="15" t="s">
        <v>9</v>
      </c>
      <c r="E70" s="15">
        <v>1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ht="15">
      <c r="A71" s="15">
        <v>55</v>
      </c>
      <c r="B71" s="15" t="s">
        <v>7</v>
      </c>
      <c r="C71" s="15" t="s">
        <v>8</v>
      </c>
      <c r="D71" s="15" t="s">
        <v>16</v>
      </c>
      <c r="E71" s="15">
        <v>2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ht="15">
      <c r="A72" s="15">
        <v>56</v>
      </c>
      <c r="B72" s="15" t="s">
        <v>28</v>
      </c>
      <c r="C72" s="15" t="s">
        <v>8</v>
      </c>
      <c r="D72" s="15" t="s">
        <v>30</v>
      </c>
      <c r="E72" s="15">
        <v>3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15">
      <c r="A73" s="15">
        <v>57</v>
      </c>
      <c r="B73" s="15" t="s">
        <v>28</v>
      </c>
      <c r="C73" s="15" t="s">
        <v>8</v>
      </c>
      <c r="D73" s="15" t="s">
        <v>30</v>
      </c>
      <c r="E73" s="15">
        <v>5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ht="15">
      <c r="A74" s="15">
        <v>58</v>
      </c>
      <c r="B74" s="15" t="s">
        <v>28</v>
      </c>
      <c r="C74" s="15" t="s">
        <v>8</v>
      </c>
      <c r="D74" s="15" t="s">
        <v>30</v>
      </c>
      <c r="E74" s="15">
        <v>5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ht="15">
      <c r="A75" s="15">
        <v>59</v>
      </c>
      <c r="B75" s="15" t="s">
        <v>22</v>
      </c>
      <c r="C75" s="15" t="s">
        <v>21</v>
      </c>
      <c r="D75" s="15" t="s">
        <v>9</v>
      </c>
      <c r="E75" s="15">
        <v>1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15">
      <c r="A76" s="15">
        <v>60</v>
      </c>
      <c r="B76" s="15" t="s">
        <v>28</v>
      </c>
      <c r="C76" s="15" t="s">
        <v>8</v>
      </c>
      <c r="D76" s="15" t="s">
        <v>30</v>
      </c>
      <c r="E76" s="15">
        <v>1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5:40" ht="15">
      <c r="E77" s="2">
        <f>SUM(E6:E76)</f>
        <v>102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8:40" ht="15"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7:40" ht="15">
      <c r="G79" s="11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7:40" ht="15">
      <c r="G80" s="1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7:40" ht="15">
      <c r="G81" s="6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7:40" ht="15">
      <c r="G82" s="6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7:40" ht="15">
      <c r="G83" s="14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7:40" ht="15">
      <c r="G84" s="6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7:40" ht="15">
      <c r="G85" s="6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7:8" ht="15">
      <c r="G86" s="6"/>
      <c r="H86"/>
    </row>
    <row r="87" spans="7:11" ht="15">
      <c r="G87" s="6"/>
      <c r="H87" s="14"/>
      <c r="I87" s="1"/>
      <c r="J87" s="1"/>
      <c r="K87" s="6"/>
    </row>
    <row r="88" spans="7:11" ht="15">
      <c r="G88" s="6"/>
      <c r="H88" s="14"/>
      <c r="I88" s="1"/>
      <c r="J88" s="1"/>
      <c r="K88" s="6"/>
    </row>
    <row r="89" spans="7:11" ht="15">
      <c r="G89" s="1"/>
      <c r="H89" s="14"/>
      <c r="I89" s="1"/>
      <c r="J89" s="1"/>
      <c r="K89" s="1"/>
    </row>
    <row r="90" spans="7:11" ht="15">
      <c r="G90" s="1"/>
      <c r="H90" s="14"/>
      <c r="I90" s="6"/>
      <c r="J90" s="1"/>
      <c r="K90" s="6"/>
    </row>
    <row r="91" spans="7:11" ht="15">
      <c r="G91" s="6"/>
      <c r="H91" s="14"/>
      <c r="I91" s="1"/>
      <c r="J91" s="1"/>
      <c r="K91" s="6"/>
    </row>
    <row r="92" spans="7:11" ht="15">
      <c r="G92" s="14"/>
      <c r="H92" s="14"/>
      <c r="I92" s="1"/>
      <c r="J92" s="14"/>
      <c r="K92" s="6"/>
    </row>
    <row r="93" spans="7:11" ht="15">
      <c r="G93" s="6"/>
      <c r="H93" s="14"/>
      <c r="I93" s="1"/>
      <c r="J93" s="1"/>
      <c r="K93" s="6"/>
    </row>
    <row r="94" spans="7:11" ht="15">
      <c r="G94" s="6"/>
      <c r="H94" s="6"/>
      <c r="I94" s="1"/>
      <c r="J94" s="14"/>
      <c r="K94" s="1"/>
    </row>
    <row r="95" spans="7:11" ht="15">
      <c r="G95" s="6"/>
      <c r="H95" s="6"/>
      <c r="I95" s="1"/>
      <c r="J95" s="1"/>
      <c r="K95" s="1"/>
    </row>
    <row r="97" spans="6:15" ht="15">
      <c r="F97" s="60" t="s">
        <v>98</v>
      </c>
      <c r="G97" s="37" t="s">
        <v>6</v>
      </c>
      <c r="H97" s="37" t="s">
        <v>88</v>
      </c>
      <c r="I97" s="37" t="s">
        <v>3</v>
      </c>
      <c r="J97" s="37" t="s">
        <v>65</v>
      </c>
      <c r="K97" s="36" t="s">
        <v>99</v>
      </c>
      <c r="L97" s="36" t="s">
        <v>79</v>
      </c>
      <c r="M97" s="36" t="s">
        <v>81</v>
      </c>
      <c r="N97" s="36" t="s">
        <v>80</v>
      </c>
      <c r="O97" s="60" t="s">
        <v>100</v>
      </c>
    </row>
    <row r="98" spans="6:22" ht="15">
      <c r="F98" s="61">
        <v>1</v>
      </c>
      <c r="G98" s="59" t="s">
        <v>22</v>
      </c>
      <c r="H98" s="59" t="s">
        <v>89</v>
      </c>
      <c r="I98" s="59" t="s">
        <v>21</v>
      </c>
      <c r="J98" s="59" t="s">
        <v>9</v>
      </c>
      <c r="K98" s="47">
        <v>2</v>
      </c>
      <c r="L98" s="62">
        <f>K98/102</f>
        <v>0.0196078431372549</v>
      </c>
      <c r="M98" s="63">
        <f>LN(L98)</f>
        <v>-3.9318256327243257</v>
      </c>
      <c r="N98" s="63">
        <f>L98*M98</f>
        <v>-0.07709462024949658</v>
      </c>
      <c r="O98" s="64">
        <f>L98^2</f>
        <v>0.00038446751249519417</v>
      </c>
      <c r="R98" t="s">
        <v>6</v>
      </c>
      <c r="S98" t="s">
        <v>137</v>
      </c>
      <c r="U98" t="s">
        <v>6</v>
      </c>
      <c r="V98" s="2" t="s">
        <v>138</v>
      </c>
    </row>
    <row r="99" spans="6:22" ht="15">
      <c r="F99" s="18">
        <v>2</v>
      </c>
      <c r="G99" s="21" t="s">
        <v>19</v>
      </c>
      <c r="H99" s="21" t="s">
        <v>91</v>
      </c>
      <c r="I99" s="8" t="s">
        <v>20</v>
      </c>
      <c r="J99" s="21" t="s">
        <v>9</v>
      </c>
      <c r="K99" s="8">
        <v>4</v>
      </c>
      <c r="L99" s="19">
        <f aca="true" t="shared" si="1" ref="L99:L111">K99/102</f>
        <v>0.0392156862745098</v>
      </c>
      <c r="M99" s="20">
        <f aca="true" t="shared" si="2" ref="M99:M111">LN(L99)</f>
        <v>-3.2386784521643803</v>
      </c>
      <c r="N99" s="20">
        <f aca="true" t="shared" si="3" ref="N99:N111">L99*M99</f>
        <v>-0.12700699812409336</v>
      </c>
      <c r="O99" s="34">
        <f aca="true" t="shared" si="4" ref="O99:O111">L99^2</f>
        <v>0.0015378700499807767</v>
      </c>
      <c r="R99" t="s">
        <v>22</v>
      </c>
      <c r="S99">
        <v>3</v>
      </c>
      <c r="U99" t="s">
        <v>22</v>
      </c>
      <c r="V99" s="2">
        <f>SUM(K109,K98,K110)</f>
        <v>13</v>
      </c>
    </row>
    <row r="100" spans="6:22" ht="15">
      <c r="F100" s="18">
        <v>3</v>
      </c>
      <c r="G100" s="21" t="s">
        <v>7</v>
      </c>
      <c r="H100" s="21" t="s">
        <v>91</v>
      </c>
      <c r="I100" s="8" t="s">
        <v>8</v>
      </c>
      <c r="J100" s="8" t="s">
        <v>37</v>
      </c>
      <c r="K100" s="8">
        <v>16</v>
      </c>
      <c r="L100" s="19">
        <f t="shared" si="1"/>
        <v>0.1568627450980392</v>
      </c>
      <c r="M100" s="20">
        <f t="shared" si="2"/>
        <v>-1.8523840910444898</v>
      </c>
      <c r="N100" s="20">
        <f t="shared" si="3"/>
        <v>-0.29057005349717485</v>
      </c>
      <c r="O100" s="34">
        <f t="shared" si="4"/>
        <v>0.024605920799692427</v>
      </c>
      <c r="R100" t="s">
        <v>19</v>
      </c>
      <c r="S100">
        <v>2</v>
      </c>
      <c r="U100" t="s">
        <v>19</v>
      </c>
      <c r="V100" s="2">
        <f>SUM(K111,K99)</f>
        <v>5</v>
      </c>
    </row>
    <row r="101" spans="6:22" ht="15">
      <c r="F101" s="18">
        <v>4</v>
      </c>
      <c r="G101" s="21" t="s">
        <v>7</v>
      </c>
      <c r="H101" s="21" t="s">
        <v>91</v>
      </c>
      <c r="I101" s="8" t="s">
        <v>8</v>
      </c>
      <c r="J101" s="8" t="s">
        <v>18</v>
      </c>
      <c r="K101" s="8">
        <v>13</v>
      </c>
      <c r="L101" s="19">
        <f t="shared" si="1"/>
        <v>0.12745098039215685</v>
      </c>
      <c r="M101" s="20">
        <f t="shared" si="2"/>
        <v>-2.0600234558227344</v>
      </c>
      <c r="N101" s="20">
        <f t="shared" si="3"/>
        <v>-0.2625520090754465</v>
      </c>
      <c r="O101" s="34">
        <f t="shared" si="4"/>
        <v>0.01624375240292195</v>
      </c>
      <c r="R101" t="s">
        <v>7</v>
      </c>
      <c r="S101">
        <v>8</v>
      </c>
      <c r="U101" t="s">
        <v>7</v>
      </c>
      <c r="V101" s="2">
        <f>SUM(K100,K101,K103,K104,K105,K107,K106,K108)</f>
        <v>69</v>
      </c>
    </row>
    <row r="102" spans="6:22" ht="15">
      <c r="F102" s="18">
        <v>5</v>
      </c>
      <c r="G102" s="7" t="s">
        <v>28</v>
      </c>
      <c r="H102" s="21" t="s">
        <v>91</v>
      </c>
      <c r="I102" s="8" t="s">
        <v>8</v>
      </c>
      <c r="J102" s="8" t="s">
        <v>30</v>
      </c>
      <c r="K102" s="8">
        <v>15</v>
      </c>
      <c r="L102" s="19">
        <f t="shared" si="1"/>
        <v>0.14705882352941177</v>
      </c>
      <c r="M102" s="20">
        <f t="shared" si="2"/>
        <v>-1.916922612182061</v>
      </c>
      <c r="N102" s="20">
        <f t="shared" si="3"/>
        <v>-0.28190038414442076</v>
      </c>
      <c r="O102" s="34">
        <f t="shared" si="4"/>
        <v>0.021626297577854673</v>
      </c>
      <c r="R102" t="s">
        <v>28</v>
      </c>
      <c r="S102">
        <v>1</v>
      </c>
      <c r="U102" t="s">
        <v>28</v>
      </c>
      <c r="V102" s="2">
        <f>SUM(K102)</f>
        <v>15</v>
      </c>
    </row>
    <row r="103" spans="6:15" ht="15">
      <c r="F103" s="18">
        <v>6</v>
      </c>
      <c r="G103" s="7" t="s">
        <v>7</v>
      </c>
      <c r="H103" s="21" t="s">
        <v>91</v>
      </c>
      <c r="I103" s="8" t="s">
        <v>8</v>
      </c>
      <c r="J103" s="21" t="s">
        <v>9</v>
      </c>
      <c r="K103" s="8">
        <v>17</v>
      </c>
      <c r="L103" s="19">
        <f t="shared" si="1"/>
        <v>0.16666666666666666</v>
      </c>
      <c r="M103" s="20">
        <f t="shared" si="2"/>
        <v>-1.791759469228055</v>
      </c>
      <c r="N103" s="20">
        <f t="shared" si="3"/>
        <v>-0.2986265782046758</v>
      </c>
      <c r="O103" s="34">
        <f t="shared" si="4"/>
        <v>0.027777777777777776</v>
      </c>
    </row>
    <row r="104" spans="6:15" ht="15">
      <c r="F104" s="18">
        <v>7</v>
      </c>
      <c r="G104" s="7" t="s">
        <v>7</v>
      </c>
      <c r="H104" s="21" t="s">
        <v>91</v>
      </c>
      <c r="I104" s="8" t="s">
        <v>8</v>
      </c>
      <c r="J104" s="21" t="s">
        <v>16</v>
      </c>
      <c r="K104" s="8">
        <v>4</v>
      </c>
      <c r="L104" s="19">
        <f t="shared" si="1"/>
        <v>0.0392156862745098</v>
      </c>
      <c r="M104" s="20">
        <f t="shared" si="2"/>
        <v>-3.2386784521643803</v>
      </c>
      <c r="N104" s="20">
        <f t="shared" si="3"/>
        <v>-0.12700699812409336</v>
      </c>
      <c r="O104" s="34">
        <f t="shared" si="4"/>
        <v>0.0015378700499807767</v>
      </c>
    </row>
    <row r="105" spans="6:15" ht="15">
      <c r="F105" s="18">
        <v>8</v>
      </c>
      <c r="G105" s="7" t="s">
        <v>7</v>
      </c>
      <c r="H105" s="21" t="s">
        <v>91</v>
      </c>
      <c r="I105" s="8" t="s">
        <v>8</v>
      </c>
      <c r="J105" s="8" t="s">
        <v>31</v>
      </c>
      <c r="K105" s="8">
        <v>4</v>
      </c>
      <c r="L105" s="19">
        <f t="shared" si="1"/>
        <v>0.0392156862745098</v>
      </c>
      <c r="M105" s="20">
        <f t="shared" si="2"/>
        <v>-3.2386784521643803</v>
      </c>
      <c r="N105" s="20">
        <f t="shared" si="3"/>
        <v>-0.12700699812409336</v>
      </c>
      <c r="O105" s="34">
        <f t="shared" si="4"/>
        <v>0.0015378700499807767</v>
      </c>
    </row>
    <row r="106" spans="6:15" ht="15">
      <c r="F106" s="18">
        <v>9</v>
      </c>
      <c r="G106" s="7" t="s">
        <v>7</v>
      </c>
      <c r="H106" s="21" t="s">
        <v>91</v>
      </c>
      <c r="I106" s="8" t="s">
        <v>14</v>
      </c>
      <c r="J106" s="8" t="s">
        <v>9</v>
      </c>
      <c r="K106" s="8">
        <v>1</v>
      </c>
      <c r="L106" s="19">
        <f t="shared" si="1"/>
        <v>0.00980392156862745</v>
      </c>
      <c r="M106" s="20">
        <f t="shared" si="2"/>
        <v>-4.624972813284271</v>
      </c>
      <c r="N106" s="20">
        <f t="shared" si="3"/>
        <v>-0.04534287071847324</v>
      </c>
      <c r="O106" s="34">
        <f t="shared" si="4"/>
        <v>9.611687812379854E-05</v>
      </c>
    </row>
    <row r="107" spans="6:15" ht="15">
      <c r="F107" s="18">
        <v>10</v>
      </c>
      <c r="G107" s="7" t="s">
        <v>7</v>
      </c>
      <c r="H107" s="21" t="s">
        <v>91</v>
      </c>
      <c r="I107" s="8" t="s">
        <v>14</v>
      </c>
      <c r="J107" s="8" t="s">
        <v>23</v>
      </c>
      <c r="K107" s="8">
        <v>4</v>
      </c>
      <c r="L107" s="19">
        <f t="shared" si="1"/>
        <v>0.0392156862745098</v>
      </c>
      <c r="M107" s="20">
        <f t="shared" si="2"/>
        <v>-3.2386784521643803</v>
      </c>
      <c r="N107" s="20">
        <f t="shared" si="3"/>
        <v>-0.12700699812409336</v>
      </c>
      <c r="O107" s="34">
        <f t="shared" si="4"/>
        <v>0.0015378700499807767</v>
      </c>
    </row>
    <row r="108" spans="6:15" ht="15">
      <c r="F108" s="18">
        <v>11</v>
      </c>
      <c r="G108" s="7" t="s">
        <v>7</v>
      </c>
      <c r="H108" s="21" t="s">
        <v>91</v>
      </c>
      <c r="I108" s="7" t="s">
        <v>12</v>
      </c>
      <c r="J108" s="8" t="s">
        <v>13</v>
      </c>
      <c r="K108" s="8">
        <v>10</v>
      </c>
      <c r="L108" s="19">
        <f t="shared" si="1"/>
        <v>0.09803921568627451</v>
      </c>
      <c r="M108" s="20">
        <f t="shared" si="2"/>
        <v>-2.322387720290225</v>
      </c>
      <c r="N108" s="20">
        <f t="shared" si="3"/>
        <v>-0.22768507061668875</v>
      </c>
      <c r="O108" s="34">
        <f t="shared" si="4"/>
        <v>0.009611687812379853</v>
      </c>
    </row>
    <row r="109" spans="6:15" ht="15">
      <c r="F109" s="18">
        <v>12</v>
      </c>
      <c r="G109" s="8" t="s">
        <v>22</v>
      </c>
      <c r="H109" s="21" t="s">
        <v>90</v>
      </c>
      <c r="I109" s="7" t="s">
        <v>25</v>
      </c>
      <c r="J109" s="8" t="s">
        <v>67</v>
      </c>
      <c r="K109" s="8">
        <v>2</v>
      </c>
      <c r="L109" s="19">
        <f t="shared" si="1"/>
        <v>0.0196078431372549</v>
      </c>
      <c r="M109" s="20">
        <f t="shared" si="2"/>
        <v>-3.9318256327243257</v>
      </c>
      <c r="N109" s="20">
        <f t="shared" si="3"/>
        <v>-0.07709462024949658</v>
      </c>
      <c r="O109" s="34">
        <f t="shared" si="4"/>
        <v>0.00038446751249519417</v>
      </c>
    </row>
    <row r="110" spans="6:15" ht="15">
      <c r="F110" s="18">
        <v>13</v>
      </c>
      <c r="G110" s="8" t="s">
        <v>22</v>
      </c>
      <c r="H110" s="21" t="s">
        <v>93</v>
      </c>
      <c r="I110" s="7" t="s">
        <v>11</v>
      </c>
      <c r="J110" s="7" t="s">
        <v>60</v>
      </c>
      <c r="K110" s="8">
        <v>9</v>
      </c>
      <c r="L110" s="19">
        <f t="shared" si="1"/>
        <v>0.08823529411764706</v>
      </c>
      <c r="M110" s="20">
        <f t="shared" si="2"/>
        <v>-2.4277482359480516</v>
      </c>
      <c r="N110" s="20">
        <f t="shared" si="3"/>
        <v>-0.21421307964247516</v>
      </c>
      <c r="O110" s="34">
        <f t="shared" si="4"/>
        <v>0.007785467128027683</v>
      </c>
    </row>
    <row r="111" spans="6:15" ht="15">
      <c r="F111" s="18">
        <v>14</v>
      </c>
      <c r="G111" s="8" t="s">
        <v>19</v>
      </c>
      <c r="H111" s="21" t="s">
        <v>93</v>
      </c>
      <c r="I111" s="8" t="s">
        <v>11</v>
      </c>
      <c r="J111" s="8" t="s">
        <v>67</v>
      </c>
      <c r="K111" s="8">
        <v>1</v>
      </c>
      <c r="L111" s="19">
        <f t="shared" si="1"/>
        <v>0.00980392156862745</v>
      </c>
      <c r="M111" s="20">
        <f t="shared" si="2"/>
        <v>-4.624972813284271</v>
      </c>
      <c r="N111" s="20">
        <f t="shared" si="3"/>
        <v>-0.04534287071847324</v>
      </c>
      <c r="O111" s="34">
        <f t="shared" si="4"/>
        <v>9.611687812379854E-05</v>
      </c>
    </row>
    <row r="112" spans="6:15" ht="15">
      <c r="F112" s="165" t="s">
        <v>82</v>
      </c>
      <c r="G112" s="165"/>
      <c r="H112" s="165"/>
      <c r="I112" s="165"/>
      <c r="J112" s="165"/>
      <c r="K112" s="47">
        <f>SUM(K98:K111)</f>
        <v>102</v>
      </c>
      <c r="L112" s="47"/>
      <c r="M112" s="47"/>
      <c r="N112" s="63">
        <f>SUM(N98:N111)</f>
        <v>-2.328450149613195</v>
      </c>
      <c r="O112" s="63">
        <f>SUM(O98:O111)</f>
        <v>0.11476355247981548</v>
      </c>
    </row>
    <row r="113" spans="6:15" ht="15">
      <c r="F113" s="166" t="s">
        <v>83</v>
      </c>
      <c r="G113" s="166"/>
      <c r="H113" s="166"/>
      <c r="I113" s="166"/>
      <c r="J113" s="166"/>
      <c r="K113" s="38"/>
      <c r="L113" s="39"/>
      <c r="M113" s="39"/>
      <c r="N113" s="40">
        <f>-(N112)</f>
        <v>2.328450149613195</v>
      </c>
      <c r="O113" s="39"/>
    </row>
    <row r="114" spans="6:15" ht="15">
      <c r="F114" s="167" t="s">
        <v>84</v>
      </c>
      <c r="G114" s="167"/>
      <c r="H114" s="167"/>
      <c r="I114" s="167"/>
      <c r="J114" s="167"/>
      <c r="K114" s="41"/>
      <c r="L114" s="42"/>
      <c r="M114" s="42"/>
      <c r="N114" s="43">
        <f>N113/LN(12)</f>
        <v>0.937037272531685</v>
      </c>
      <c r="O114" s="42"/>
    </row>
    <row r="115" spans="6:15" ht="15">
      <c r="F115" s="168" t="s">
        <v>85</v>
      </c>
      <c r="G115" s="168"/>
      <c r="H115" s="168"/>
      <c r="I115" s="168"/>
      <c r="J115" s="168"/>
      <c r="K115" s="44"/>
      <c r="L115" s="45"/>
      <c r="M115" s="45"/>
      <c r="N115" s="46">
        <f>O112</f>
        <v>0.11476355247981548</v>
      </c>
      <c r="O115" s="45"/>
    </row>
  </sheetData>
  <mergeCells count="7">
    <mergeCell ref="F115:J115"/>
    <mergeCell ref="F114:J114"/>
    <mergeCell ref="F113:J113"/>
    <mergeCell ref="F112:J112"/>
    <mergeCell ref="A1:C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2"/>
  <sheetViews>
    <sheetView zoomScale="70" zoomScaleNormal="70" workbookViewId="0" topLeftCell="A1">
      <pane ySplit="1635" topLeftCell="A94" activePane="bottomLeft" state="split"/>
      <selection pane="bottomLeft" activeCell="G96" sqref="G96:P112"/>
    </sheetView>
  </sheetViews>
  <sheetFormatPr defaultColWidth="9.140625" defaultRowHeight="15"/>
  <cols>
    <col min="1" max="1" width="6.8515625" style="2" customWidth="1"/>
    <col min="2" max="2" width="13.57421875" style="2" customWidth="1"/>
    <col min="3" max="3" width="14.140625" style="2" customWidth="1"/>
    <col min="4" max="4" width="23.00390625" style="2" customWidth="1"/>
    <col min="5" max="5" width="14.140625" style="2" customWidth="1"/>
    <col min="6" max="8" width="9.140625" style="2" customWidth="1"/>
    <col min="9" max="9" width="14.28125" style="2" customWidth="1"/>
    <col min="10" max="10" width="9.140625" style="2" customWidth="1"/>
    <col min="11" max="11" width="15.8515625" style="2" customWidth="1"/>
    <col min="12" max="12" width="22.00390625" style="2" customWidth="1"/>
    <col min="13" max="13" width="12.7109375" style="2" customWidth="1"/>
    <col min="14" max="15" width="9.140625" style="2" customWidth="1"/>
    <col min="16" max="16" width="11.00390625" style="2" customWidth="1"/>
    <col min="17" max="16384" width="9.140625" style="2" customWidth="1"/>
  </cols>
  <sheetData>
    <row r="1" spans="1:9" ht="15">
      <c r="A1" s="171" t="s">
        <v>0</v>
      </c>
      <c r="B1" s="171"/>
      <c r="C1" s="171"/>
      <c r="D1" s="1" t="s">
        <v>15</v>
      </c>
      <c r="E1" s="2" t="s">
        <v>41</v>
      </c>
      <c r="F1" s="2" t="s">
        <v>48</v>
      </c>
      <c r="H1" s="13" t="s">
        <v>72</v>
      </c>
      <c r="I1" s="13"/>
    </row>
    <row r="2" spans="1:9" ht="15">
      <c r="A2" s="171" t="s">
        <v>1</v>
      </c>
      <c r="B2" s="171"/>
      <c r="C2" s="4">
        <v>0.6395833333333333</v>
      </c>
      <c r="D2" s="1"/>
      <c r="E2" s="2" t="s">
        <v>42</v>
      </c>
      <c r="F2" s="2" t="s">
        <v>49</v>
      </c>
      <c r="H2" s="13" t="s">
        <v>77</v>
      </c>
      <c r="I2" s="13"/>
    </row>
    <row r="3" spans="1:4" ht="15">
      <c r="A3" s="171" t="s">
        <v>45</v>
      </c>
      <c r="B3" s="171"/>
      <c r="C3" s="1">
        <v>5</v>
      </c>
      <c r="D3" s="1"/>
    </row>
    <row r="5" spans="1:39" ht="38.25">
      <c r="A5" s="15" t="s">
        <v>2</v>
      </c>
      <c r="B5" s="15" t="s">
        <v>6</v>
      </c>
      <c r="C5" s="15" t="s">
        <v>3</v>
      </c>
      <c r="D5" s="15" t="s">
        <v>4</v>
      </c>
      <c r="E5" s="15" t="s">
        <v>5</v>
      </c>
      <c r="G5" s="102" t="s">
        <v>130</v>
      </c>
      <c r="H5" s="103" t="s">
        <v>101</v>
      </c>
      <c r="I5" s="103" t="s">
        <v>112</v>
      </c>
      <c r="J5" s="104" t="s">
        <v>64</v>
      </c>
      <c r="K5" s="104" t="s">
        <v>102</v>
      </c>
      <c r="L5" s="103" t="s">
        <v>113</v>
      </c>
      <c r="M5" s="104" t="s">
        <v>114</v>
      </c>
      <c r="N5" s="103" t="s">
        <v>103</v>
      </c>
      <c r="O5" s="103" t="s">
        <v>104</v>
      </c>
      <c r="P5" s="104" t="s">
        <v>37</v>
      </c>
      <c r="Q5" s="104" t="s">
        <v>34</v>
      </c>
      <c r="R5" s="104" t="s">
        <v>18</v>
      </c>
      <c r="S5" s="104" t="s">
        <v>30</v>
      </c>
      <c r="T5" s="103" t="s">
        <v>68</v>
      </c>
      <c r="U5" s="103" t="s">
        <v>115</v>
      </c>
      <c r="V5" s="103" t="s">
        <v>116</v>
      </c>
      <c r="W5" s="103" t="s">
        <v>117</v>
      </c>
      <c r="X5" s="103" t="s">
        <v>118</v>
      </c>
      <c r="Y5" s="103" t="s">
        <v>119</v>
      </c>
      <c r="Z5" s="103" t="s">
        <v>120</v>
      </c>
      <c r="AA5" s="103" t="s">
        <v>121</v>
      </c>
      <c r="AB5" s="104" t="s">
        <v>55</v>
      </c>
      <c r="AC5" s="104" t="s">
        <v>13</v>
      </c>
      <c r="AD5" s="103" t="s">
        <v>122</v>
      </c>
      <c r="AE5" s="105" t="s">
        <v>97</v>
      </c>
      <c r="AF5" s="104" t="s">
        <v>123</v>
      </c>
      <c r="AG5" s="104" t="s">
        <v>58</v>
      </c>
      <c r="AH5" s="104" t="s">
        <v>69</v>
      </c>
      <c r="AI5" s="104" t="s">
        <v>124</v>
      </c>
      <c r="AJ5" s="103" t="s">
        <v>125</v>
      </c>
      <c r="AK5" s="104" t="s">
        <v>60</v>
      </c>
      <c r="AL5" s="106" t="s">
        <v>126</v>
      </c>
      <c r="AM5"/>
    </row>
    <row r="6" spans="1:39" ht="15">
      <c r="A6" s="15">
        <v>1</v>
      </c>
      <c r="B6" s="15" t="s">
        <v>7</v>
      </c>
      <c r="C6" s="15" t="s">
        <v>8</v>
      </c>
      <c r="D6" s="15" t="s">
        <v>9</v>
      </c>
      <c r="E6" s="15">
        <v>5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5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/>
    </row>
    <row r="7" spans="1:39" ht="15">
      <c r="A7" s="15">
        <v>2</v>
      </c>
      <c r="B7" s="15">
        <v>0</v>
      </c>
      <c r="C7" s="15"/>
      <c r="D7" s="15"/>
      <c r="E7" s="15"/>
      <c r="G7">
        <v>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/>
    </row>
    <row r="8" spans="1:39" ht="15">
      <c r="A8" s="15">
        <v>3</v>
      </c>
      <c r="B8" s="15">
        <v>0</v>
      </c>
      <c r="C8" s="15"/>
      <c r="D8" s="15"/>
      <c r="E8" s="15"/>
      <c r="G8">
        <v>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/>
    </row>
    <row r="9" spans="1:39" ht="15">
      <c r="A9" s="15">
        <v>4</v>
      </c>
      <c r="B9" s="15">
        <v>0</v>
      </c>
      <c r="C9" s="15"/>
      <c r="D9" s="15"/>
      <c r="E9" s="15"/>
      <c r="G9">
        <v>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/>
    </row>
    <row r="10" spans="1:39" ht="15">
      <c r="A10" s="15">
        <v>5</v>
      </c>
      <c r="B10" s="15" t="s">
        <v>7</v>
      </c>
      <c r="C10" s="15" t="s">
        <v>8</v>
      </c>
      <c r="D10" s="15" t="s">
        <v>18</v>
      </c>
      <c r="E10" s="15">
        <v>1</v>
      </c>
      <c r="G10">
        <v>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/>
    </row>
    <row r="11" spans="1:39" ht="15">
      <c r="A11" s="15">
        <v>6</v>
      </c>
      <c r="B11" s="15" t="s">
        <v>19</v>
      </c>
      <c r="C11" s="15" t="s">
        <v>11</v>
      </c>
      <c r="D11" s="15" t="s">
        <v>67</v>
      </c>
      <c r="E11" s="15">
        <v>10</v>
      </c>
      <c r="G11">
        <v>6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10</v>
      </c>
      <c r="AM11"/>
    </row>
    <row r="12" spans="1:39" ht="15">
      <c r="A12" s="15"/>
      <c r="B12" s="15" t="s">
        <v>7</v>
      </c>
      <c r="C12" s="15" t="s">
        <v>10</v>
      </c>
      <c r="D12" s="15" t="s">
        <v>37</v>
      </c>
      <c r="E12" s="15">
        <v>2</v>
      </c>
      <c r="G12">
        <v>7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7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3</v>
      </c>
      <c r="AL12">
        <v>0</v>
      </c>
      <c r="AM12"/>
    </row>
    <row r="13" spans="1:39" ht="15">
      <c r="A13" s="15">
        <v>7</v>
      </c>
      <c r="B13" s="15" t="s">
        <v>22</v>
      </c>
      <c r="C13" s="15" t="s">
        <v>11</v>
      </c>
      <c r="D13" s="15" t="s">
        <v>60</v>
      </c>
      <c r="E13" s="15">
        <v>3</v>
      </c>
      <c r="G13">
        <v>8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5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/>
    </row>
    <row r="14" spans="1:39" ht="15">
      <c r="A14" s="15"/>
      <c r="B14" s="15" t="s">
        <v>7</v>
      </c>
      <c r="C14" s="15" t="s">
        <v>8</v>
      </c>
      <c r="D14" s="15" t="s">
        <v>18</v>
      </c>
      <c r="E14" s="15">
        <v>1</v>
      </c>
      <c r="G14">
        <v>9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3</v>
      </c>
      <c r="U14">
        <v>0</v>
      </c>
      <c r="V14">
        <v>0</v>
      </c>
      <c r="W14">
        <v>0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/>
    </row>
    <row r="15" spans="1:39" ht="15">
      <c r="A15" s="15"/>
      <c r="B15" s="15" t="s">
        <v>7</v>
      </c>
      <c r="C15" s="15" t="s">
        <v>12</v>
      </c>
      <c r="D15" s="15" t="s">
        <v>13</v>
      </c>
      <c r="E15" s="15">
        <v>1</v>
      </c>
      <c r="G15">
        <v>10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/>
    </row>
    <row r="16" spans="1:39" ht="15">
      <c r="A16" s="15"/>
      <c r="B16" s="15" t="s">
        <v>7</v>
      </c>
      <c r="C16" s="15" t="s">
        <v>20</v>
      </c>
      <c r="D16" s="15" t="s">
        <v>67</v>
      </c>
      <c r="E16" s="15">
        <v>7</v>
      </c>
      <c r="G16">
        <v>11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/>
    </row>
    <row r="17" spans="1:39" ht="15">
      <c r="A17" s="15">
        <v>8</v>
      </c>
      <c r="B17" s="15" t="s">
        <v>7</v>
      </c>
      <c r="C17" s="15" t="s">
        <v>8</v>
      </c>
      <c r="D17" s="15" t="s">
        <v>9</v>
      </c>
      <c r="E17" s="15">
        <v>5</v>
      </c>
      <c r="G17">
        <v>12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/>
    </row>
    <row r="18" spans="1:39" ht="15">
      <c r="A18" s="15">
        <v>9</v>
      </c>
      <c r="B18" s="15" t="s">
        <v>7</v>
      </c>
      <c r="C18" s="15" t="s">
        <v>14</v>
      </c>
      <c r="D18" s="15" t="s">
        <v>9</v>
      </c>
      <c r="E18" s="15">
        <v>1</v>
      </c>
      <c r="G18">
        <v>13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1</v>
      </c>
      <c r="Z18">
        <v>0</v>
      </c>
      <c r="AA18">
        <v>0</v>
      </c>
      <c r="AB18">
        <v>0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/>
    </row>
    <row r="19" spans="1:39" ht="15">
      <c r="A19" s="15"/>
      <c r="B19" s="15" t="s">
        <v>7</v>
      </c>
      <c r="C19" s="15" t="s">
        <v>8</v>
      </c>
      <c r="D19" s="15" t="s">
        <v>9</v>
      </c>
      <c r="E19" s="15">
        <v>3</v>
      </c>
      <c r="G19">
        <v>14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/>
    </row>
    <row r="20" spans="1:39" ht="15">
      <c r="A20" s="15">
        <v>10</v>
      </c>
      <c r="B20" s="15" t="s">
        <v>28</v>
      </c>
      <c r="C20" s="15" t="s">
        <v>8</v>
      </c>
      <c r="D20" s="15" t="s">
        <v>30</v>
      </c>
      <c r="E20" s="15">
        <v>2</v>
      </c>
      <c r="G20">
        <v>15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/>
    </row>
    <row r="21" spans="1:39" ht="15">
      <c r="A21" s="15">
        <v>11</v>
      </c>
      <c r="B21" s="15" t="s">
        <v>7</v>
      </c>
      <c r="C21" s="15" t="s">
        <v>8</v>
      </c>
      <c r="D21" s="15" t="s">
        <v>18</v>
      </c>
      <c r="E21" s="15">
        <v>5</v>
      </c>
      <c r="G21">
        <v>16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/>
    </row>
    <row r="22" spans="1:39" ht="15">
      <c r="A22" s="15">
        <v>12</v>
      </c>
      <c r="B22" s="15" t="s">
        <v>7</v>
      </c>
      <c r="C22" s="15" t="s">
        <v>12</v>
      </c>
      <c r="D22" s="15" t="s">
        <v>13</v>
      </c>
      <c r="E22" s="15">
        <v>3</v>
      </c>
      <c r="G22">
        <v>17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/>
    </row>
    <row r="23" spans="1:39" ht="15">
      <c r="A23" s="15">
        <v>13</v>
      </c>
      <c r="B23" s="15" t="s">
        <v>7</v>
      </c>
      <c r="C23" s="15" t="s">
        <v>14</v>
      </c>
      <c r="D23" s="15" t="s">
        <v>16</v>
      </c>
      <c r="E23" s="15">
        <v>1</v>
      </c>
      <c r="G23">
        <v>18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/>
    </row>
    <row r="24" spans="1:39" ht="15">
      <c r="A24" s="15"/>
      <c r="B24" s="15" t="s">
        <v>7</v>
      </c>
      <c r="C24" s="15" t="s">
        <v>8</v>
      </c>
      <c r="D24" s="15" t="s">
        <v>9</v>
      </c>
      <c r="E24" s="15">
        <v>1</v>
      </c>
      <c r="G24">
        <v>19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5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/>
    </row>
    <row r="25" spans="1:39" ht="15">
      <c r="A25" s="15"/>
      <c r="B25" s="15" t="s">
        <v>7</v>
      </c>
      <c r="C25" s="15" t="s">
        <v>12</v>
      </c>
      <c r="D25" s="15" t="s">
        <v>13</v>
      </c>
      <c r="E25" s="15">
        <v>1</v>
      </c>
      <c r="G25">
        <v>20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3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/>
    </row>
    <row r="26" spans="1:39" ht="15">
      <c r="A26" s="15">
        <v>14</v>
      </c>
      <c r="B26" s="15" t="s">
        <v>7</v>
      </c>
      <c r="C26" s="15" t="s">
        <v>8</v>
      </c>
      <c r="D26" s="15" t="s">
        <v>9</v>
      </c>
      <c r="E26" s="15">
        <v>1</v>
      </c>
      <c r="G26">
        <v>21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/>
    </row>
    <row r="27" spans="1:39" ht="15">
      <c r="A27" s="15">
        <v>15</v>
      </c>
      <c r="B27" s="15">
        <v>0</v>
      </c>
      <c r="C27" s="15"/>
      <c r="D27" s="15"/>
      <c r="E27" s="15"/>
      <c r="G27">
        <v>22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/>
    </row>
    <row r="28" spans="1:39" ht="15">
      <c r="A28" s="15">
        <v>16</v>
      </c>
      <c r="B28" s="15">
        <v>0</v>
      </c>
      <c r="C28" s="15"/>
      <c r="D28" s="15"/>
      <c r="E28" s="15"/>
      <c r="G28">
        <v>23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/>
    </row>
    <row r="29" spans="1:39" ht="15">
      <c r="A29" s="15">
        <v>17</v>
      </c>
      <c r="B29" s="15">
        <v>0</v>
      </c>
      <c r="C29" s="15"/>
      <c r="D29" s="15"/>
      <c r="E29" s="15"/>
      <c r="G29">
        <v>24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/>
    </row>
    <row r="30" spans="1:39" ht="15">
      <c r="A30" s="15">
        <v>18</v>
      </c>
      <c r="B30" s="15">
        <v>0</v>
      </c>
      <c r="C30" s="15"/>
      <c r="D30" s="15"/>
      <c r="E30" s="15"/>
      <c r="G30">
        <v>25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/>
    </row>
    <row r="31" spans="1:39" ht="15">
      <c r="A31" s="15">
        <v>19</v>
      </c>
      <c r="B31" s="15" t="s">
        <v>7</v>
      </c>
      <c r="C31" s="15" t="s">
        <v>8</v>
      </c>
      <c r="D31" s="15" t="s">
        <v>9</v>
      </c>
      <c r="E31" s="15">
        <v>5</v>
      </c>
      <c r="G31">
        <v>26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/>
    </row>
    <row r="32" spans="1:39" ht="15">
      <c r="A32" s="15">
        <v>20</v>
      </c>
      <c r="B32" s="15" t="s">
        <v>7</v>
      </c>
      <c r="C32" s="15" t="s">
        <v>17</v>
      </c>
      <c r="D32" s="15" t="s">
        <v>9</v>
      </c>
      <c r="E32" s="15">
        <v>3</v>
      </c>
      <c r="G32">
        <v>27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/>
    </row>
    <row r="33" spans="1:39" ht="15">
      <c r="A33" s="15">
        <v>21</v>
      </c>
      <c r="B33" s="15">
        <v>0</v>
      </c>
      <c r="C33" s="15"/>
      <c r="D33" s="15"/>
      <c r="E33" s="15"/>
      <c r="G33">
        <v>28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/>
    </row>
    <row r="34" spans="1:39" ht="15">
      <c r="A34" s="15">
        <v>22</v>
      </c>
      <c r="B34" s="15">
        <v>0</v>
      </c>
      <c r="C34" s="15"/>
      <c r="D34" s="15"/>
      <c r="E34" s="15"/>
      <c r="G34">
        <v>29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/>
    </row>
    <row r="35" spans="1:39" ht="15">
      <c r="A35" s="15">
        <v>23</v>
      </c>
      <c r="B35" s="15" t="s">
        <v>7</v>
      </c>
      <c r="C35" s="15" t="s">
        <v>12</v>
      </c>
      <c r="D35" s="15" t="s">
        <v>13</v>
      </c>
      <c r="E35" s="15">
        <v>1</v>
      </c>
      <c r="G35">
        <v>30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/>
    </row>
    <row r="36" spans="1:39" ht="15">
      <c r="A36" s="15">
        <v>24</v>
      </c>
      <c r="B36" s="15" t="s">
        <v>7</v>
      </c>
      <c r="C36" s="15" t="s">
        <v>8</v>
      </c>
      <c r="D36" s="15" t="s">
        <v>16</v>
      </c>
      <c r="E36" s="15">
        <v>1</v>
      </c>
      <c r="G36">
        <v>31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/>
    </row>
    <row r="37" spans="1:39" ht="15">
      <c r="A37" s="15">
        <v>25</v>
      </c>
      <c r="B37" s="15">
        <v>0</v>
      </c>
      <c r="C37" s="15"/>
      <c r="D37" s="15"/>
      <c r="E37" s="15"/>
      <c r="G37">
        <v>32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/>
    </row>
    <row r="38" spans="1:39" ht="15">
      <c r="A38" s="15">
        <v>26</v>
      </c>
      <c r="B38" s="15" t="s">
        <v>7</v>
      </c>
      <c r="C38" s="15" t="s">
        <v>12</v>
      </c>
      <c r="D38" s="15" t="s">
        <v>13</v>
      </c>
      <c r="E38" s="15">
        <v>1</v>
      </c>
      <c r="G38">
        <v>33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/>
    </row>
    <row r="39" spans="1:39" ht="15">
      <c r="A39" s="15">
        <v>27</v>
      </c>
      <c r="B39" s="15">
        <v>0</v>
      </c>
      <c r="C39" s="15"/>
      <c r="D39" s="15"/>
      <c r="E39" s="15"/>
      <c r="G39">
        <v>34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/>
    </row>
    <row r="40" spans="1:39" ht="15">
      <c r="A40" s="15">
        <v>28</v>
      </c>
      <c r="B40" s="15">
        <v>0</v>
      </c>
      <c r="C40" s="15"/>
      <c r="D40" s="15"/>
      <c r="E40" s="15"/>
      <c r="G40">
        <v>35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3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/>
    </row>
    <row r="41" spans="1:39" ht="15">
      <c r="A41" s="15">
        <v>29</v>
      </c>
      <c r="B41" s="15">
        <v>0</v>
      </c>
      <c r="C41" s="15"/>
      <c r="D41" s="15"/>
      <c r="E41" s="15"/>
      <c r="G41">
        <v>36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3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/>
    </row>
    <row r="42" spans="1:39" ht="15">
      <c r="A42" s="15">
        <v>30</v>
      </c>
      <c r="B42" s="15" t="s">
        <v>7</v>
      </c>
      <c r="C42" s="15" t="s">
        <v>12</v>
      </c>
      <c r="D42" s="15" t="s">
        <v>13</v>
      </c>
      <c r="E42" s="15">
        <v>1</v>
      </c>
      <c r="G42">
        <v>37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3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/>
    </row>
    <row r="43" spans="1:39" ht="15">
      <c r="A43" s="15">
        <v>31</v>
      </c>
      <c r="B43" s="15" t="s">
        <v>7</v>
      </c>
      <c r="C43" s="15" t="s">
        <v>8</v>
      </c>
      <c r="D43" s="15" t="s">
        <v>9</v>
      </c>
      <c r="E43" s="15">
        <v>1</v>
      </c>
      <c r="G43">
        <v>38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/>
    </row>
    <row r="44" spans="1:39" ht="15">
      <c r="A44" s="15">
        <v>32</v>
      </c>
      <c r="B44" s="15">
        <v>0</v>
      </c>
      <c r="C44" s="15"/>
      <c r="D44" s="15"/>
      <c r="E44" s="15"/>
      <c r="G44">
        <v>39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/>
    </row>
    <row r="45" spans="1:39" ht="15">
      <c r="A45" s="15">
        <v>33</v>
      </c>
      <c r="B45" s="15" t="s">
        <v>7</v>
      </c>
      <c r="C45" s="15" t="s">
        <v>8</v>
      </c>
      <c r="D45" s="15" t="s">
        <v>18</v>
      </c>
      <c r="E45" s="15">
        <v>3</v>
      </c>
      <c r="G45">
        <v>40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8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/>
    </row>
    <row r="46" spans="1:39" ht="15">
      <c r="A46" s="15">
        <v>34</v>
      </c>
      <c r="B46" s="15">
        <v>0</v>
      </c>
      <c r="C46" s="15"/>
      <c r="D46" s="15"/>
      <c r="E46" s="15"/>
      <c r="G46">
        <v>41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4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/>
    </row>
    <row r="47" spans="1:39" ht="15">
      <c r="A47" s="15">
        <v>35</v>
      </c>
      <c r="B47" s="15" t="s">
        <v>7</v>
      </c>
      <c r="C47" s="15" t="s">
        <v>8</v>
      </c>
      <c r="D47" s="15" t="s">
        <v>18</v>
      </c>
      <c r="E47" s="15">
        <v>3</v>
      </c>
      <c r="G47">
        <v>42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6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/>
    </row>
    <row r="48" spans="1:39" ht="15">
      <c r="A48" s="15">
        <v>36</v>
      </c>
      <c r="B48" s="15" t="s">
        <v>7</v>
      </c>
      <c r="C48" s="15" t="s">
        <v>12</v>
      </c>
      <c r="D48" s="15" t="s">
        <v>13</v>
      </c>
      <c r="E48" s="15">
        <v>3</v>
      </c>
      <c r="G48">
        <v>43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2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/>
    </row>
    <row r="49" spans="1:39" ht="15">
      <c r="A49" s="15">
        <v>37</v>
      </c>
      <c r="B49" s="15" t="s">
        <v>7</v>
      </c>
      <c r="C49" s="15" t="s">
        <v>8</v>
      </c>
      <c r="D49" s="15" t="s">
        <v>18</v>
      </c>
      <c r="E49" s="15">
        <v>3</v>
      </c>
      <c r="G49">
        <v>44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/>
    </row>
    <row r="50" spans="1:39" ht="15">
      <c r="A50" s="15">
        <v>38</v>
      </c>
      <c r="B50" s="15">
        <v>0</v>
      </c>
      <c r="C50" s="15"/>
      <c r="D50" s="15"/>
      <c r="E50" s="15"/>
      <c r="G50">
        <v>45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/>
    </row>
    <row r="51" spans="1:39" ht="15">
      <c r="A51" s="15">
        <v>39</v>
      </c>
      <c r="B51" s="15" t="s">
        <v>7</v>
      </c>
      <c r="C51" s="15" t="s">
        <v>8</v>
      </c>
      <c r="D51" s="15" t="s">
        <v>18</v>
      </c>
      <c r="E51" s="15">
        <v>4</v>
      </c>
      <c r="G51">
        <v>46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/>
    </row>
    <row r="52" spans="1:39" ht="15">
      <c r="A52" s="15">
        <v>40</v>
      </c>
      <c r="B52" s="15" t="s">
        <v>7</v>
      </c>
      <c r="C52" s="15" t="s">
        <v>8</v>
      </c>
      <c r="D52" s="15" t="s">
        <v>18</v>
      </c>
      <c r="E52" s="15">
        <v>8</v>
      </c>
      <c r="G52">
        <v>47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1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/>
    </row>
    <row r="53" spans="1:39" ht="15">
      <c r="A53" s="15">
        <v>41</v>
      </c>
      <c r="B53" s="15" t="s">
        <v>7</v>
      </c>
      <c r="C53" s="15" t="s">
        <v>8</v>
      </c>
      <c r="D53" s="15" t="s">
        <v>18</v>
      </c>
      <c r="E53" s="15">
        <v>4</v>
      </c>
      <c r="G53">
        <v>48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/>
    </row>
    <row r="54" spans="1:39" ht="15">
      <c r="A54" s="15">
        <v>42</v>
      </c>
      <c r="B54" s="15" t="s">
        <v>7</v>
      </c>
      <c r="C54" s="15" t="s">
        <v>12</v>
      </c>
      <c r="D54" s="15" t="s">
        <v>13</v>
      </c>
      <c r="E54" s="15">
        <v>1</v>
      </c>
      <c r="G54">
        <v>49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4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/>
    </row>
    <row r="55" spans="1:39" ht="15">
      <c r="A55" s="15"/>
      <c r="B55" s="15" t="s">
        <v>7</v>
      </c>
      <c r="C55" s="17" t="s">
        <v>8</v>
      </c>
      <c r="D55" s="17" t="s">
        <v>9</v>
      </c>
      <c r="E55" s="15">
        <v>6</v>
      </c>
      <c r="G55">
        <v>50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3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2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/>
    </row>
    <row r="56" spans="1:39" ht="15">
      <c r="A56" s="15">
        <v>43</v>
      </c>
      <c r="B56" s="15" t="s">
        <v>7</v>
      </c>
      <c r="C56" s="17" t="s">
        <v>12</v>
      </c>
      <c r="D56" s="17" t="s">
        <v>13</v>
      </c>
      <c r="E56" s="15">
        <v>1</v>
      </c>
      <c r="G56">
        <v>51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/>
    </row>
    <row r="57" spans="1:39" ht="15">
      <c r="A57" s="15"/>
      <c r="B57" s="15" t="s">
        <v>7</v>
      </c>
      <c r="C57" s="15" t="s">
        <v>12</v>
      </c>
      <c r="D57" s="15" t="s">
        <v>13</v>
      </c>
      <c r="E57" s="15">
        <v>1</v>
      </c>
      <c r="G57">
        <v>52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/>
    </row>
    <row r="58" spans="1:39" ht="15">
      <c r="A58" s="15">
        <v>44</v>
      </c>
      <c r="B58" s="15" t="s">
        <v>7</v>
      </c>
      <c r="C58" s="15" t="s">
        <v>8</v>
      </c>
      <c r="D58" s="15" t="s">
        <v>9</v>
      </c>
      <c r="E58" s="15">
        <v>1</v>
      </c>
      <c r="G58">
        <v>53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/>
    </row>
    <row r="59" spans="1:39" ht="15">
      <c r="A59" s="15">
        <v>45</v>
      </c>
      <c r="B59" s="15">
        <v>0</v>
      </c>
      <c r="C59" s="15"/>
      <c r="D59" s="15"/>
      <c r="E59" s="15"/>
      <c r="G59">
        <v>54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/>
    </row>
    <row r="60" spans="1:39" ht="15">
      <c r="A60" s="15">
        <v>46</v>
      </c>
      <c r="B60" s="15" t="s">
        <v>7</v>
      </c>
      <c r="C60" s="15" t="s">
        <v>8</v>
      </c>
      <c r="D60" s="15" t="s">
        <v>9</v>
      </c>
      <c r="E60" s="15">
        <v>1</v>
      </c>
      <c r="G60">
        <v>55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2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/>
    </row>
    <row r="61" spans="1:39" ht="15">
      <c r="A61" s="15">
        <v>47</v>
      </c>
      <c r="B61" s="15" t="s">
        <v>7</v>
      </c>
      <c r="C61" s="15" t="s">
        <v>8</v>
      </c>
      <c r="D61" s="15" t="s">
        <v>16</v>
      </c>
      <c r="E61" s="15">
        <v>1</v>
      </c>
      <c r="G61">
        <v>56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/>
    </row>
    <row r="62" spans="1:39" ht="15">
      <c r="A62" s="15">
        <v>48</v>
      </c>
      <c r="B62" s="15" t="s">
        <v>19</v>
      </c>
      <c r="C62" s="15" t="s">
        <v>20</v>
      </c>
      <c r="D62" s="15" t="s">
        <v>9</v>
      </c>
      <c r="E62" s="15">
        <v>1</v>
      </c>
      <c r="G62">
        <v>57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/>
    </row>
    <row r="63" spans="1:39" ht="15">
      <c r="A63" s="15"/>
      <c r="B63" s="15" t="s">
        <v>7</v>
      </c>
      <c r="C63" s="15" t="s">
        <v>8</v>
      </c>
      <c r="D63" s="15" t="s">
        <v>9</v>
      </c>
      <c r="E63" s="15">
        <v>1</v>
      </c>
      <c r="G63">
        <v>58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/>
    </row>
    <row r="64" spans="1:39" ht="15">
      <c r="A64" s="15">
        <v>49</v>
      </c>
      <c r="B64" s="15" t="s">
        <v>19</v>
      </c>
      <c r="C64" s="15" t="s">
        <v>20</v>
      </c>
      <c r="D64" s="15" t="s">
        <v>9</v>
      </c>
      <c r="E64" s="15">
        <v>4</v>
      </c>
      <c r="G64">
        <v>59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/>
    </row>
    <row r="65" spans="1:39" ht="15">
      <c r="A65" s="15">
        <v>50</v>
      </c>
      <c r="B65" s="15" t="s">
        <v>7</v>
      </c>
      <c r="C65" s="15" t="s">
        <v>8</v>
      </c>
      <c r="D65" s="15" t="s">
        <v>9</v>
      </c>
      <c r="E65" s="15">
        <v>3</v>
      </c>
      <c r="G65">
        <v>60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/>
    </row>
    <row r="66" spans="1:38" ht="15">
      <c r="A66" s="15"/>
      <c r="B66" s="15" t="s">
        <v>7</v>
      </c>
      <c r="C66" s="15" t="s">
        <v>12</v>
      </c>
      <c r="D66" s="15" t="s">
        <v>13</v>
      </c>
      <c r="E66" s="15">
        <v>2</v>
      </c>
      <c r="G66">
        <v>61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</row>
    <row r="67" spans="1:38" ht="15">
      <c r="A67" s="15">
        <v>51</v>
      </c>
      <c r="B67" s="15">
        <v>0</v>
      </c>
      <c r="C67" s="15"/>
      <c r="D67" s="15"/>
      <c r="E67" s="15"/>
      <c r="G67">
        <v>62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1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</row>
    <row r="68" spans="1:39" ht="15">
      <c r="A68" s="15">
        <v>52</v>
      </c>
      <c r="B68" s="15">
        <v>0</v>
      </c>
      <c r="C68" s="15"/>
      <c r="D68" s="15"/>
      <c r="E68" s="15"/>
      <c r="H68">
        <f>SUM(H6:H67)</f>
        <v>1</v>
      </c>
      <c r="I68">
        <f aca="true" t="shared" si="0" ref="I68:AL68">SUM(I6:I67)</f>
        <v>0</v>
      </c>
      <c r="J68">
        <f t="shared" si="0"/>
        <v>0</v>
      </c>
      <c r="K68">
        <f t="shared" si="0"/>
        <v>0</v>
      </c>
      <c r="L68">
        <f t="shared" si="0"/>
        <v>0</v>
      </c>
      <c r="M68">
        <f t="shared" si="0"/>
        <v>0</v>
      </c>
      <c r="N68">
        <f t="shared" si="0"/>
        <v>12</v>
      </c>
      <c r="O68">
        <f t="shared" si="0"/>
        <v>0</v>
      </c>
      <c r="P68">
        <f t="shared" si="0"/>
        <v>2</v>
      </c>
      <c r="Q68">
        <f t="shared" si="0"/>
        <v>0</v>
      </c>
      <c r="R68">
        <f t="shared" si="0"/>
        <v>32</v>
      </c>
      <c r="S68">
        <f t="shared" si="0"/>
        <v>2</v>
      </c>
      <c r="T68">
        <f t="shared" si="0"/>
        <v>36</v>
      </c>
      <c r="U68">
        <f t="shared" si="0"/>
        <v>4</v>
      </c>
      <c r="V68">
        <f t="shared" si="0"/>
        <v>0</v>
      </c>
      <c r="W68">
        <f t="shared" si="0"/>
        <v>0</v>
      </c>
      <c r="X68">
        <f t="shared" si="0"/>
        <v>4</v>
      </c>
      <c r="Y68">
        <f t="shared" si="0"/>
        <v>1</v>
      </c>
      <c r="Z68">
        <f t="shared" si="0"/>
        <v>0</v>
      </c>
      <c r="AA68">
        <f t="shared" si="0"/>
        <v>0</v>
      </c>
      <c r="AB68">
        <f t="shared" si="0"/>
        <v>0</v>
      </c>
      <c r="AC68">
        <f t="shared" si="0"/>
        <v>16</v>
      </c>
      <c r="AD68">
        <f t="shared" si="0"/>
        <v>0</v>
      </c>
      <c r="AE68">
        <f t="shared" si="0"/>
        <v>0</v>
      </c>
      <c r="AF68">
        <f t="shared" si="0"/>
        <v>0</v>
      </c>
      <c r="AG68">
        <f t="shared" si="0"/>
        <v>0</v>
      </c>
      <c r="AH68">
        <f t="shared" si="0"/>
        <v>0</v>
      </c>
      <c r="AI68">
        <f t="shared" si="0"/>
        <v>0</v>
      </c>
      <c r="AJ68">
        <f t="shared" si="0"/>
        <v>0</v>
      </c>
      <c r="AK68">
        <f t="shared" si="0"/>
        <v>3</v>
      </c>
      <c r="AL68">
        <f t="shared" si="0"/>
        <v>10</v>
      </c>
      <c r="AM68">
        <f>SUM(H68:AL68)</f>
        <v>123</v>
      </c>
    </row>
    <row r="69" spans="1:5" ht="15">
      <c r="A69" s="15">
        <v>53</v>
      </c>
      <c r="B69" s="15">
        <v>0</v>
      </c>
      <c r="C69" s="15"/>
      <c r="D69" s="15"/>
      <c r="E69" s="15"/>
    </row>
    <row r="70" spans="1:5" ht="15">
      <c r="A70" s="15">
        <v>54</v>
      </c>
      <c r="B70" s="15" t="s">
        <v>7</v>
      </c>
      <c r="C70" s="15" t="s">
        <v>8</v>
      </c>
      <c r="D70" s="15" t="s">
        <v>9</v>
      </c>
      <c r="E70" s="15">
        <v>1</v>
      </c>
    </row>
    <row r="71" spans="1:5" ht="15">
      <c r="A71" s="15">
        <v>55</v>
      </c>
      <c r="B71" s="15" t="s">
        <v>7</v>
      </c>
      <c r="C71" s="15" t="s">
        <v>8</v>
      </c>
      <c r="D71" s="15" t="s">
        <v>16</v>
      </c>
      <c r="E71" s="15">
        <v>2</v>
      </c>
    </row>
    <row r="72" spans="1:5" ht="15">
      <c r="A72" s="15">
        <v>56</v>
      </c>
      <c r="B72" s="15" t="s">
        <v>22</v>
      </c>
      <c r="C72" s="15" t="s">
        <v>21</v>
      </c>
      <c r="D72" s="15" t="s">
        <v>9</v>
      </c>
      <c r="E72" s="15">
        <v>1</v>
      </c>
    </row>
    <row r="73" spans="1:5" ht="15">
      <c r="A73" s="15">
        <v>57</v>
      </c>
      <c r="B73" s="15">
        <v>0</v>
      </c>
      <c r="C73" s="15"/>
      <c r="D73" s="15"/>
      <c r="E73" s="15"/>
    </row>
    <row r="74" spans="1:5" ht="15">
      <c r="A74" s="15">
        <v>58</v>
      </c>
      <c r="B74" s="15">
        <v>0</v>
      </c>
      <c r="C74" s="15"/>
      <c r="D74" s="15"/>
      <c r="E74" s="15"/>
    </row>
    <row r="75" spans="1:5" ht="15">
      <c r="A75" s="15">
        <v>59</v>
      </c>
      <c r="B75" s="15">
        <v>0</v>
      </c>
      <c r="C75" s="15"/>
      <c r="D75" s="15"/>
      <c r="E75" s="15"/>
    </row>
    <row r="76" spans="1:5" ht="15">
      <c r="A76" s="15">
        <v>60</v>
      </c>
      <c r="B76" s="15" t="s">
        <v>7</v>
      </c>
      <c r="C76" s="15" t="s">
        <v>8</v>
      </c>
      <c r="D76" s="15" t="s">
        <v>9</v>
      </c>
      <c r="E76" s="15">
        <v>1</v>
      </c>
    </row>
    <row r="77" spans="1:5" ht="15">
      <c r="A77" s="15">
        <v>61</v>
      </c>
      <c r="B77" s="15">
        <v>0</v>
      </c>
      <c r="C77" s="15"/>
      <c r="D77" s="15"/>
      <c r="E77" s="15"/>
    </row>
    <row r="78" spans="1:5" ht="15">
      <c r="A78" s="15">
        <v>62</v>
      </c>
      <c r="B78" s="15" t="s">
        <v>7</v>
      </c>
      <c r="C78" s="15" t="s">
        <v>8</v>
      </c>
      <c r="D78" s="15" t="s">
        <v>9</v>
      </c>
      <c r="E78" s="15">
        <v>1</v>
      </c>
    </row>
    <row r="79" ht="15">
      <c r="E79" s="2">
        <f>SUM(E6:E78)</f>
        <v>123</v>
      </c>
    </row>
    <row r="81" spans="8:19" ht="15">
      <c r="H81" s="11" t="s">
        <v>6</v>
      </c>
      <c r="I81" s="11" t="s">
        <v>88</v>
      </c>
      <c r="J81" s="11" t="s">
        <v>3</v>
      </c>
      <c r="K81" s="11" t="s">
        <v>65</v>
      </c>
      <c r="L81" s="11" t="s">
        <v>66</v>
      </c>
      <c r="O81" t="s">
        <v>6</v>
      </c>
      <c r="P81" t="s">
        <v>139</v>
      </c>
      <c r="R81" t="s">
        <v>6</v>
      </c>
      <c r="S81" s="2" t="s">
        <v>138</v>
      </c>
    </row>
    <row r="82" spans="7:19" ht="15">
      <c r="G82" s="2">
        <v>1</v>
      </c>
      <c r="H82" s="14" t="s">
        <v>22</v>
      </c>
      <c r="I82" s="14" t="s">
        <v>89</v>
      </c>
      <c r="J82" s="14" t="s">
        <v>21</v>
      </c>
      <c r="K82" s="14" t="s">
        <v>9</v>
      </c>
      <c r="L82" s="6">
        <f>SUM(E72)</f>
        <v>1</v>
      </c>
      <c r="O82" t="s">
        <v>22</v>
      </c>
      <c r="P82">
        <v>2</v>
      </c>
      <c r="R82" t="s">
        <v>22</v>
      </c>
      <c r="S82" s="2">
        <v>4</v>
      </c>
    </row>
    <row r="83" spans="7:19" ht="15">
      <c r="G83" s="2">
        <v>2</v>
      </c>
      <c r="H83" s="6"/>
      <c r="I83" s="6" t="s">
        <v>93</v>
      </c>
      <c r="J83" s="6" t="s">
        <v>11</v>
      </c>
      <c r="K83" s="6" t="s">
        <v>60</v>
      </c>
      <c r="L83" s="6">
        <f>SUM(E13)</f>
        <v>3</v>
      </c>
      <c r="O83" t="s">
        <v>19</v>
      </c>
      <c r="P83">
        <v>2</v>
      </c>
      <c r="R83" t="s">
        <v>19</v>
      </c>
      <c r="S83" s="2">
        <v>22</v>
      </c>
    </row>
    <row r="84" spans="7:19" ht="15">
      <c r="G84" s="2">
        <v>3</v>
      </c>
      <c r="H84" s="14" t="s">
        <v>7</v>
      </c>
      <c r="I84" s="14" t="s">
        <v>91</v>
      </c>
      <c r="J84" s="1" t="s">
        <v>8</v>
      </c>
      <c r="K84" s="1" t="s">
        <v>37</v>
      </c>
      <c r="L84" s="6">
        <f>SUM(E12)</f>
        <v>2</v>
      </c>
      <c r="O84" t="s">
        <v>7</v>
      </c>
      <c r="P84">
        <v>7</v>
      </c>
      <c r="R84" t="s">
        <v>7</v>
      </c>
      <c r="S84" s="2">
        <f>SUM(L84:L90)</f>
        <v>95</v>
      </c>
    </row>
    <row r="85" spans="7:19" ht="15">
      <c r="G85" s="2">
        <v>4</v>
      </c>
      <c r="H85" s="6"/>
      <c r="I85" s="14" t="s">
        <v>91</v>
      </c>
      <c r="J85" s="1" t="s">
        <v>8</v>
      </c>
      <c r="K85" s="1" t="s">
        <v>18</v>
      </c>
      <c r="L85" s="6">
        <f>SUM(E10,E14,E21,E45,E47,E49,E51,E52,E53)</f>
        <v>32</v>
      </c>
      <c r="O85" t="s">
        <v>28</v>
      </c>
      <c r="P85">
        <v>1</v>
      </c>
      <c r="R85" t="s">
        <v>28</v>
      </c>
      <c r="S85" s="2">
        <f>SUM(L91)</f>
        <v>2</v>
      </c>
    </row>
    <row r="86" spans="7:19" ht="15">
      <c r="G86" s="2">
        <v>5</v>
      </c>
      <c r="H86" s="6"/>
      <c r="I86" s="14" t="s">
        <v>91</v>
      </c>
      <c r="J86" s="1" t="s">
        <v>8</v>
      </c>
      <c r="K86" s="14" t="s">
        <v>9</v>
      </c>
      <c r="L86" s="6">
        <f>SUM(E6,E17,E19,E24,E26,E31,E43,E55,E58,E60,E63,E65,E70,E76,E78)</f>
        <v>36</v>
      </c>
      <c r="S86" s="2">
        <f>SUM(S82:S85)</f>
        <v>123</v>
      </c>
    </row>
    <row r="87" spans="7:12" ht="15">
      <c r="G87" s="2">
        <v>6</v>
      </c>
      <c r="H87" s="6"/>
      <c r="I87" s="14" t="s">
        <v>91</v>
      </c>
      <c r="J87" s="1" t="s">
        <v>8</v>
      </c>
      <c r="K87" s="14" t="s">
        <v>16</v>
      </c>
      <c r="L87" s="6">
        <f>SUM(E36,E61,E71)</f>
        <v>4</v>
      </c>
    </row>
    <row r="88" spans="7:12" ht="15">
      <c r="G88" s="2">
        <v>7</v>
      </c>
      <c r="H88" s="6"/>
      <c r="I88" s="14" t="s">
        <v>91</v>
      </c>
      <c r="J88" s="1" t="s">
        <v>14</v>
      </c>
      <c r="K88" s="1" t="s">
        <v>9</v>
      </c>
      <c r="L88" s="6">
        <f>SUM(E18,E32)</f>
        <v>4</v>
      </c>
    </row>
    <row r="89" spans="7:12" ht="15">
      <c r="G89" s="2">
        <v>8</v>
      </c>
      <c r="H89" s="1"/>
      <c r="I89" s="14" t="s">
        <v>91</v>
      </c>
      <c r="J89" s="1" t="s">
        <v>14</v>
      </c>
      <c r="K89" s="1" t="s">
        <v>16</v>
      </c>
      <c r="L89" s="6">
        <f>SUM(E23)</f>
        <v>1</v>
      </c>
    </row>
    <row r="90" spans="7:12" ht="15">
      <c r="G90" s="2">
        <v>9</v>
      </c>
      <c r="H90" s="6"/>
      <c r="I90" s="14" t="s">
        <v>91</v>
      </c>
      <c r="J90" s="6" t="s">
        <v>12</v>
      </c>
      <c r="K90" s="1" t="s">
        <v>13</v>
      </c>
      <c r="L90" s="6">
        <f>SUM(E15,E22,E25,E35,E38,E42,E48,E54,E56,E66,E57)</f>
        <v>16</v>
      </c>
    </row>
    <row r="91" spans="7:12" ht="15">
      <c r="G91" s="2">
        <v>10</v>
      </c>
      <c r="H91" s="6" t="s">
        <v>28</v>
      </c>
      <c r="I91" s="14" t="s">
        <v>91</v>
      </c>
      <c r="J91" s="1" t="s">
        <v>8</v>
      </c>
      <c r="K91" s="1" t="s">
        <v>30</v>
      </c>
      <c r="L91" s="1">
        <f>SUM(E20)</f>
        <v>2</v>
      </c>
    </row>
    <row r="92" spans="7:12" ht="15">
      <c r="G92" s="2">
        <v>11</v>
      </c>
      <c r="H92" s="6" t="s">
        <v>19</v>
      </c>
      <c r="I92" s="6" t="s">
        <v>91</v>
      </c>
      <c r="J92" s="1" t="s">
        <v>20</v>
      </c>
      <c r="K92" s="14" t="s">
        <v>9</v>
      </c>
      <c r="L92" s="6">
        <f>SUM(E16,E64,E62)</f>
        <v>12</v>
      </c>
    </row>
    <row r="93" spans="7:12" ht="15">
      <c r="G93" s="2">
        <v>12</v>
      </c>
      <c r="H93" s="6"/>
      <c r="I93" s="6" t="s">
        <v>93</v>
      </c>
      <c r="J93" s="1" t="s">
        <v>11</v>
      </c>
      <c r="K93" s="1" t="s">
        <v>67</v>
      </c>
      <c r="L93" s="6">
        <f>SUM(E11)</f>
        <v>10</v>
      </c>
    </row>
    <row r="94" spans="8:12" ht="15">
      <c r="H94" s="1"/>
      <c r="I94" s="1"/>
      <c r="J94" s="1"/>
      <c r="K94" s="1"/>
      <c r="L94" s="1">
        <f>SUM(L82:L93)</f>
        <v>123</v>
      </c>
    </row>
    <row r="96" spans="7:16" ht="15">
      <c r="G96" s="65" t="s">
        <v>98</v>
      </c>
      <c r="H96" s="22" t="s">
        <v>6</v>
      </c>
      <c r="I96" s="22" t="s">
        <v>88</v>
      </c>
      <c r="J96" s="22" t="s">
        <v>3</v>
      </c>
      <c r="K96" s="22" t="s">
        <v>65</v>
      </c>
      <c r="L96" s="25" t="s">
        <v>99</v>
      </c>
      <c r="M96" s="25" t="s">
        <v>79</v>
      </c>
      <c r="N96" s="25" t="s">
        <v>81</v>
      </c>
      <c r="O96" s="25" t="s">
        <v>80</v>
      </c>
      <c r="P96" s="65" t="s">
        <v>100</v>
      </c>
    </row>
    <row r="97" spans="7:16" ht="15">
      <c r="G97" s="18">
        <v>1</v>
      </c>
      <c r="H97" s="21" t="s">
        <v>22</v>
      </c>
      <c r="I97" s="21" t="s">
        <v>89</v>
      </c>
      <c r="J97" s="21" t="s">
        <v>21</v>
      </c>
      <c r="K97" s="21" t="s">
        <v>9</v>
      </c>
      <c r="L97" s="8">
        <v>1</v>
      </c>
      <c r="M97" s="34">
        <f>L97/123</f>
        <v>0.008130081300813009</v>
      </c>
      <c r="N97" s="8">
        <f>LN(M97)</f>
        <v>-4.812184355372417</v>
      </c>
      <c r="O97" s="8">
        <f>M97*N97</f>
        <v>-0.03912345004367819</v>
      </c>
      <c r="P97" s="35">
        <f>M97^2</f>
        <v>6.609822195782934E-05</v>
      </c>
    </row>
    <row r="98" spans="7:16" ht="15">
      <c r="G98" s="18">
        <v>2</v>
      </c>
      <c r="H98" s="21" t="s">
        <v>19</v>
      </c>
      <c r="I98" s="21" t="s">
        <v>91</v>
      </c>
      <c r="J98" s="8" t="s">
        <v>20</v>
      </c>
      <c r="K98" s="21" t="s">
        <v>9</v>
      </c>
      <c r="L98" s="8">
        <v>12</v>
      </c>
      <c r="M98" s="34">
        <f aca="true" t="shared" si="1" ref="M98:M108">L98/123</f>
        <v>0.0975609756097561</v>
      </c>
      <c r="N98" s="8">
        <f aca="true" t="shared" si="2" ref="N98:N108">LN(M98)</f>
        <v>-2.327277705584417</v>
      </c>
      <c r="O98" s="8">
        <f aca="true" t="shared" si="3" ref="O98:O108">M98*N98</f>
        <v>-0.22705148347165047</v>
      </c>
      <c r="P98" s="35">
        <f aca="true" t="shared" si="4" ref="P98:P108">M98^2</f>
        <v>0.009518143961927425</v>
      </c>
    </row>
    <row r="99" spans="7:16" ht="15">
      <c r="G99" s="18">
        <v>3</v>
      </c>
      <c r="H99" s="21" t="s">
        <v>7</v>
      </c>
      <c r="I99" s="21" t="s">
        <v>91</v>
      </c>
      <c r="J99" s="8" t="s">
        <v>8</v>
      </c>
      <c r="K99" s="8" t="s">
        <v>37</v>
      </c>
      <c r="L99" s="8">
        <v>2</v>
      </c>
      <c r="M99" s="34">
        <f t="shared" si="1"/>
        <v>0.016260162601626018</v>
      </c>
      <c r="N99" s="8">
        <f t="shared" si="2"/>
        <v>-4.119037174812472</v>
      </c>
      <c r="O99" s="8">
        <f t="shared" si="3"/>
        <v>-0.06697621422459304</v>
      </c>
      <c r="P99" s="35">
        <f t="shared" si="4"/>
        <v>0.0002643928878313174</v>
      </c>
    </row>
    <row r="100" spans="7:16" ht="15">
      <c r="G100" s="18">
        <v>4</v>
      </c>
      <c r="H100" s="21" t="s">
        <v>7</v>
      </c>
      <c r="I100" s="21" t="s">
        <v>91</v>
      </c>
      <c r="J100" s="8" t="s">
        <v>8</v>
      </c>
      <c r="K100" s="8" t="s">
        <v>18</v>
      </c>
      <c r="L100" s="8">
        <v>32</v>
      </c>
      <c r="M100" s="34">
        <f t="shared" si="1"/>
        <v>0.2601626016260163</v>
      </c>
      <c r="N100" s="8">
        <f t="shared" si="2"/>
        <v>-1.3464484525726907</v>
      </c>
      <c r="O100" s="8">
        <f t="shared" si="3"/>
        <v>-0.350295532376635</v>
      </c>
      <c r="P100" s="35">
        <f t="shared" si="4"/>
        <v>0.06768457928481725</v>
      </c>
    </row>
    <row r="101" spans="7:16" ht="15">
      <c r="G101" s="18">
        <v>5</v>
      </c>
      <c r="H101" s="7" t="s">
        <v>28</v>
      </c>
      <c r="I101" s="21" t="s">
        <v>91</v>
      </c>
      <c r="J101" s="8" t="s">
        <v>8</v>
      </c>
      <c r="K101" s="8" t="s">
        <v>30</v>
      </c>
      <c r="L101" s="8">
        <v>2</v>
      </c>
      <c r="M101" s="34">
        <f t="shared" si="1"/>
        <v>0.016260162601626018</v>
      </c>
      <c r="N101" s="8">
        <f t="shared" si="2"/>
        <v>-4.119037174812472</v>
      </c>
      <c r="O101" s="8">
        <f t="shared" si="3"/>
        <v>-0.06697621422459304</v>
      </c>
      <c r="P101" s="35">
        <f t="shared" si="4"/>
        <v>0.0002643928878313174</v>
      </c>
    </row>
    <row r="102" spans="7:16" ht="15">
      <c r="G102" s="18">
        <v>6</v>
      </c>
      <c r="H102" s="7" t="s">
        <v>7</v>
      </c>
      <c r="I102" s="21" t="s">
        <v>91</v>
      </c>
      <c r="J102" s="8" t="s">
        <v>8</v>
      </c>
      <c r="K102" s="21" t="s">
        <v>9</v>
      </c>
      <c r="L102" s="8">
        <v>36</v>
      </c>
      <c r="M102" s="34">
        <f t="shared" si="1"/>
        <v>0.2926829268292683</v>
      </c>
      <c r="N102" s="8">
        <f t="shared" si="2"/>
        <v>-1.2286654169163076</v>
      </c>
      <c r="O102" s="8">
        <f t="shared" si="3"/>
        <v>-0.35960939031696804</v>
      </c>
      <c r="P102" s="35">
        <f t="shared" si="4"/>
        <v>0.0856632956573468</v>
      </c>
    </row>
    <row r="103" spans="7:16" ht="15">
      <c r="G103" s="18">
        <v>7</v>
      </c>
      <c r="H103" s="7" t="s">
        <v>7</v>
      </c>
      <c r="I103" s="21" t="s">
        <v>91</v>
      </c>
      <c r="J103" s="8" t="s">
        <v>8</v>
      </c>
      <c r="K103" s="21" t="s">
        <v>16</v>
      </c>
      <c r="L103" s="8">
        <v>4</v>
      </c>
      <c r="M103" s="34">
        <f t="shared" si="1"/>
        <v>0.032520325203252036</v>
      </c>
      <c r="N103" s="8">
        <f t="shared" si="2"/>
        <v>-3.4258899942525267</v>
      </c>
      <c r="O103" s="8">
        <f t="shared" si="3"/>
        <v>-0.11141105672365942</v>
      </c>
      <c r="P103" s="35">
        <f t="shared" si="4"/>
        <v>0.0010575715513252695</v>
      </c>
    </row>
    <row r="104" spans="7:16" ht="15">
      <c r="G104" s="18">
        <v>8</v>
      </c>
      <c r="H104" s="7" t="s">
        <v>7</v>
      </c>
      <c r="I104" s="21" t="s">
        <v>91</v>
      </c>
      <c r="J104" s="8" t="s">
        <v>14</v>
      </c>
      <c r="K104" s="8" t="s">
        <v>9</v>
      </c>
      <c r="L104" s="8">
        <v>4</v>
      </c>
      <c r="M104" s="34">
        <f t="shared" si="1"/>
        <v>0.032520325203252036</v>
      </c>
      <c r="N104" s="8">
        <f t="shared" si="2"/>
        <v>-3.4258899942525267</v>
      </c>
      <c r="O104" s="8">
        <f t="shared" si="3"/>
        <v>-0.11141105672365942</v>
      </c>
      <c r="P104" s="35">
        <f t="shared" si="4"/>
        <v>0.0010575715513252695</v>
      </c>
    </row>
    <row r="105" spans="7:16" ht="15">
      <c r="G105" s="18">
        <v>9</v>
      </c>
      <c r="H105" s="7" t="s">
        <v>7</v>
      </c>
      <c r="I105" s="21" t="s">
        <v>91</v>
      </c>
      <c r="J105" s="8" t="s">
        <v>14</v>
      </c>
      <c r="K105" s="8" t="s">
        <v>16</v>
      </c>
      <c r="L105" s="8">
        <v>1</v>
      </c>
      <c r="M105" s="34">
        <f t="shared" si="1"/>
        <v>0.008130081300813009</v>
      </c>
      <c r="N105" s="8">
        <f t="shared" si="2"/>
        <v>-4.812184355372417</v>
      </c>
      <c r="O105" s="8">
        <f t="shared" si="3"/>
        <v>-0.03912345004367819</v>
      </c>
      <c r="P105" s="35">
        <f t="shared" si="4"/>
        <v>6.609822195782934E-05</v>
      </c>
    </row>
    <row r="106" spans="7:16" ht="15">
      <c r="G106" s="18">
        <v>10</v>
      </c>
      <c r="H106" s="7" t="s">
        <v>7</v>
      </c>
      <c r="I106" s="21" t="s">
        <v>91</v>
      </c>
      <c r="J106" s="7" t="s">
        <v>12</v>
      </c>
      <c r="K106" s="8" t="s">
        <v>13</v>
      </c>
      <c r="L106" s="8">
        <v>16</v>
      </c>
      <c r="M106" s="34">
        <f t="shared" si="1"/>
        <v>0.13008130081300814</v>
      </c>
      <c r="N106" s="8">
        <f t="shared" si="2"/>
        <v>-2.0395956331326364</v>
      </c>
      <c r="O106" s="8">
        <f t="shared" si="3"/>
        <v>-0.26531325309042425</v>
      </c>
      <c r="P106" s="35">
        <f t="shared" si="4"/>
        <v>0.016921144821204312</v>
      </c>
    </row>
    <row r="107" spans="7:16" ht="15">
      <c r="G107" s="18">
        <v>11</v>
      </c>
      <c r="H107" s="8" t="s">
        <v>22</v>
      </c>
      <c r="I107" s="21" t="s">
        <v>93</v>
      </c>
      <c r="J107" s="7" t="s">
        <v>11</v>
      </c>
      <c r="K107" s="7" t="s">
        <v>60</v>
      </c>
      <c r="L107" s="8">
        <v>3</v>
      </c>
      <c r="M107" s="34">
        <f t="shared" si="1"/>
        <v>0.024390243902439025</v>
      </c>
      <c r="N107" s="8">
        <f t="shared" si="2"/>
        <v>-3.713572066704308</v>
      </c>
      <c r="O107" s="8">
        <f t="shared" si="3"/>
        <v>-0.09057492845620263</v>
      </c>
      <c r="P107" s="35">
        <f t="shared" si="4"/>
        <v>0.000594883997620464</v>
      </c>
    </row>
    <row r="108" spans="7:16" ht="15">
      <c r="G108" s="18">
        <v>12</v>
      </c>
      <c r="H108" s="8" t="s">
        <v>19</v>
      </c>
      <c r="I108" s="21" t="s">
        <v>93</v>
      </c>
      <c r="J108" s="8" t="s">
        <v>11</v>
      </c>
      <c r="K108" s="8" t="s">
        <v>67</v>
      </c>
      <c r="L108" s="8">
        <v>10</v>
      </c>
      <c r="M108" s="34">
        <f t="shared" si="1"/>
        <v>0.08130081300813008</v>
      </c>
      <c r="N108" s="8">
        <f t="shared" si="2"/>
        <v>-2.509599262378372</v>
      </c>
      <c r="O108" s="8">
        <f t="shared" si="3"/>
        <v>-0.2040324603559652</v>
      </c>
      <c r="P108" s="35">
        <f t="shared" si="4"/>
        <v>0.006609822195782933</v>
      </c>
    </row>
    <row r="109" spans="7:16" ht="15">
      <c r="G109" s="165" t="s">
        <v>82</v>
      </c>
      <c r="H109" s="165"/>
      <c r="I109" s="165"/>
      <c r="J109" s="165"/>
      <c r="K109" s="165"/>
      <c r="L109" s="47">
        <f>SUM(L97:L108)</f>
        <v>123</v>
      </c>
      <c r="M109" s="47"/>
      <c r="N109" s="47"/>
      <c r="O109" s="47">
        <f>SUM(O97:O108)</f>
        <v>-1.931898490051707</v>
      </c>
      <c r="P109" s="48">
        <f>SUM(P97:P108)</f>
        <v>0.18976799524092802</v>
      </c>
    </row>
    <row r="110" spans="7:16" ht="15">
      <c r="G110" s="166" t="s">
        <v>83</v>
      </c>
      <c r="H110" s="166"/>
      <c r="I110" s="166"/>
      <c r="J110" s="166"/>
      <c r="K110" s="166"/>
      <c r="L110" s="38"/>
      <c r="M110" s="39"/>
      <c r="N110" s="39"/>
      <c r="O110" s="40">
        <f>-(O109)</f>
        <v>1.931898490051707</v>
      </c>
      <c r="P110" s="39"/>
    </row>
    <row r="111" spans="7:16" ht="15">
      <c r="G111" s="167" t="s">
        <v>84</v>
      </c>
      <c r="H111" s="167"/>
      <c r="I111" s="167"/>
      <c r="J111" s="167"/>
      <c r="K111" s="167"/>
      <c r="L111" s="41"/>
      <c r="M111" s="42"/>
      <c r="N111" s="42"/>
      <c r="O111" s="43">
        <f>O110/LN(12)</f>
        <v>0.7774531450573916</v>
      </c>
      <c r="P111" s="42"/>
    </row>
    <row r="112" spans="7:16" ht="15">
      <c r="G112" s="168" t="s">
        <v>85</v>
      </c>
      <c r="H112" s="168"/>
      <c r="I112" s="168"/>
      <c r="J112" s="168"/>
      <c r="K112" s="168"/>
      <c r="L112" s="44"/>
      <c r="M112" s="45"/>
      <c r="N112" s="45"/>
      <c r="O112" s="46">
        <f>P109</f>
        <v>0.18976799524092802</v>
      </c>
      <c r="P112" s="45"/>
    </row>
  </sheetData>
  <mergeCells count="7">
    <mergeCell ref="G109:K109"/>
    <mergeCell ref="G110:K110"/>
    <mergeCell ref="G111:K111"/>
    <mergeCell ref="G112:K112"/>
    <mergeCell ref="A1:C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150"/>
  <sheetViews>
    <sheetView zoomScale="70" zoomScaleNormal="70" workbookViewId="0" topLeftCell="A120">
      <selection activeCell="AB128" sqref="AB128"/>
    </sheetView>
  </sheetViews>
  <sheetFormatPr defaultColWidth="9.140625" defaultRowHeight="15"/>
  <cols>
    <col min="2" max="2" width="14.00390625" style="0" customWidth="1"/>
    <col min="3" max="3" width="17.57421875" style="0" customWidth="1"/>
    <col min="4" max="4" width="14.8515625" style="0" customWidth="1"/>
    <col min="5" max="5" width="15.00390625" style="0" customWidth="1"/>
    <col min="6" max="6" width="16.00390625" style="0" customWidth="1"/>
    <col min="7" max="7" width="10.7109375" style="0" customWidth="1"/>
    <col min="8" max="8" width="12.140625" style="0" customWidth="1"/>
    <col min="11" max="11" width="14.7109375" style="0" customWidth="1"/>
    <col min="12" max="12" width="15.57421875" style="0" customWidth="1"/>
    <col min="13" max="13" width="11.8515625" style="0" customWidth="1"/>
    <col min="14" max="14" width="14.421875" style="24" customWidth="1"/>
    <col min="15" max="15" width="13.57421875" style="24" customWidth="1"/>
    <col min="16" max="16" width="14.00390625" style="0" customWidth="1"/>
    <col min="17" max="17" width="13.57421875" style="0" customWidth="1"/>
    <col min="18" max="18" width="21.28125" style="0" customWidth="1"/>
    <col min="19" max="23" width="9.140625" style="24" customWidth="1"/>
    <col min="28" max="28" width="11.8515625" style="0" customWidth="1"/>
  </cols>
  <sheetData>
    <row r="3" spans="2:14" ht="15.75">
      <c r="B3" s="25"/>
      <c r="C3" s="22"/>
      <c r="D3" s="22"/>
      <c r="E3" s="22"/>
      <c r="F3" s="22"/>
      <c r="G3" s="22"/>
      <c r="H3" s="22"/>
      <c r="I3" s="23"/>
      <c r="J3" s="23"/>
      <c r="K3" s="23"/>
      <c r="L3" s="23"/>
      <c r="N3" s="27"/>
    </row>
    <row r="4" spans="2:12" ht="15.75">
      <c r="B4" s="2"/>
      <c r="C4" s="21"/>
      <c r="D4" s="21"/>
      <c r="E4" s="21"/>
      <c r="F4" s="21"/>
      <c r="G4" s="8"/>
      <c r="H4" s="20"/>
      <c r="I4" s="19"/>
      <c r="J4" s="20"/>
      <c r="K4" s="19"/>
      <c r="L4" s="30"/>
    </row>
    <row r="5" spans="2:12" ht="15.75">
      <c r="B5" s="2"/>
      <c r="C5" s="21"/>
      <c r="D5" s="21"/>
      <c r="E5" s="21"/>
      <c r="F5" s="21"/>
      <c r="G5" s="8"/>
      <c r="H5" s="20"/>
      <c r="I5" s="19"/>
      <c r="J5" s="20"/>
      <c r="K5" s="19"/>
      <c r="L5" s="30"/>
    </row>
    <row r="6" spans="2:12" ht="15.75">
      <c r="B6" s="2"/>
      <c r="C6" s="8"/>
      <c r="D6" s="8"/>
      <c r="E6" s="8"/>
      <c r="F6" s="8"/>
      <c r="G6" s="8"/>
      <c r="H6" s="20"/>
      <c r="I6" s="19"/>
      <c r="J6" s="20"/>
      <c r="K6" s="19"/>
      <c r="L6" s="30"/>
    </row>
    <row r="7" spans="2:12" ht="15.75">
      <c r="B7" s="2"/>
      <c r="C7" s="8"/>
      <c r="D7" s="8"/>
      <c r="E7" s="8"/>
      <c r="F7" s="8"/>
      <c r="G7" s="8"/>
      <c r="H7" s="20"/>
      <c r="I7" s="19"/>
      <c r="J7" s="20"/>
      <c r="K7" s="19"/>
      <c r="L7" s="30"/>
    </row>
    <row r="8" spans="2:12" ht="15.75">
      <c r="B8" s="2"/>
      <c r="C8" s="8"/>
      <c r="D8" s="8"/>
      <c r="E8" s="8"/>
      <c r="F8" s="8"/>
      <c r="G8" s="8"/>
      <c r="H8" s="20"/>
      <c r="I8" s="19"/>
      <c r="J8" s="20"/>
      <c r="K8" s="19"/>
      <c r="L8" s="30"/>
    </row>
    <row r="9" spans="2:12" ht="15.75">
      <c r="B9" s="2"/>
      <c r="C9" s="21"/>
      <c r="D9" s="21"/>
      <c r="E9" s="8"/>
      <c r="F9" s="8"/>
      <c r="G9" s="8"/>
      <c r="H9" s="20"/>
      <c r="I9" s="19"/>
      <c r="J9" s="20"/>
      <c r="K9" s="19"/>
      <c r="L9" s="30"/>
    </row>
    <row r="10" spans="2:12" ht="15.75">
      <c r="B10" s="2"/>
      <c r="C10" s="8"/>
      <c r="D10" s="21"/>
      <c r="E10" s="8"/>
      <c r="F10" s="8"/>
      <c r="G10" s="8"/>
      <c r="H10" s="20"/>
      <c r="I10" s="19"/>
      <c r="J10" s="20"/>
      <c r="K10" s="19"/>
      <c r="L10" s="30"/>
    </row>
    <row r="11" spans="2:12" ht="15.75">
      <c r="B11" s="2"/>
      <c r="C11" s="8"/>
      <c r="D11" s="21"/>
      <c r="E11" s="8"/>
      <c r="F11" s="8"/>
      <c r="G11" s="8"/>
      <c r="H11" s="20"/>
      <c r="I11" s="19"/>
      <c r="J11" s="20"/>
      <c r="K11" s="19"/>
      <c r="L11" s="30"/>
    </row>
    <row r="12" spans="2:12" ht="15.75">
      <c r="B12" s="2"/>
      <c r="C12" s="8"/>
      <c r="D12" s="21"/>
      <c r="E12" s="8"/>
      <c r="F12" s="21"/>
      <c r="G12" s="8"/>
      <c r="H12" s="20"/>
      <c r="I12" s="19"/>
      <c r="J12" s="20"/>
      <c r="K12" s="19"/>
      <c r="L12" s="30"/>
    </row>
    <row r="13" spans="2:12" ht="15.75">
      <c r="B13" s="2"/>
      <c r="C13" s="8"/>
      <c r="D13" s="21"/>
      <c r="E13" s="8"/>
      <c r="F13" s="21"/>
      <c r="G13" s="8"/>
      <c r="H13" s="20"/>
      <c r="I13" s="19"/>
      <c r="J13" s="20"/>
      <c r="K13" s="19"/>
      <c r="L13" s="30"/>
    </row>
    <row r="14" spans="2:12" ht="15.75">
      <c r="B14" s="2"/>
      <c r="C14" s="8"/>
      <c r="D14" s="21"/>
      <c r="E14" s="8"/>
      <c r="F14" s="21"/>
      <c r="G14" s="8"/>
      <c r="H14" s="20"/>
      <c r="I14" s="19"/>
      <c r="J14" s="20"/>
      <c r="K14" s="19"/>
      <c r="L14" s="30"/>
    </row>
    <row r="15" spans="2:12" ht="15.75">
      <c r="B15" s="2"/>
      <c r="C15" s="8"/>
      <c r="D15" s="21"/>
      <c r="E15" s="8"/>
      <c r="F15" s="21"/>
      <c r="G15" s="8"/>
      <c r="H15" s="20"/>
      <c r="I15" s="19"/>
      <c r="J15" s="20"/>
      <c r="K15" s="19"/>
      <c r="L15" s="30"/>
    </row>
    <row r="16" spans="2:12" ht="15.75">
      <c r="B16" s="2"/>
      <c r="C16" s="8"/>
      <c r="D16" s="21"/>
      <c r="E16" s="8"/>
      <c r="F16" s="21"/>
      <c r="G16" s="8"/>
      <c r="H16" s="20"/>
      <c r="I16" s="19"/>
      <c r="J16" s="20"/>
      <c r="K16" s="19"/>
      <c r="L16" s="30"/>
    </row>
    <row r="17" spans="2:12" ht="15.75">
      <c r="B17" s="2"/>
      <c r="C17" s="8"/>
      <c r="D17" s="21"/>
      <c r="E17" s="8"/>
      <c r="F17" s="21"/>
      <c r="G17" s="8"/>
      <c r="H17" s="20"/>
      <c r="I17" s="19"/>
      <c r="J17" s="20"/>
      <c r="K17" s="19"/>
      <c r="L17" s="30"/>
    </row>
    <row r="18" spans="2:12" ht="15.75">
      <c r="B18" s="2"/>
      <c r="C18" s="8"/>
      <c r="D18" s="21"/>
      <c r="E18" s="8"/>
      <c r="F18" s="21"/>
      <c r="G18" s="8"/>
      <c r="H18" s="20"/>
      <c r="I18" s="19"/>
      <c r="J18" s="20"/>
      <c r="K18" s="19"/>
      <c r="L18" s="30"/>
    </row>
    <row r="19" spans="2:12" ht="15.75">
      <c r="B19" s="2"/>
      <c r="C19" s="8"/>
      <c r="D19" s="21"/>
      <c r="E19" s="8"/>
      <c r="F19" s="21"/>
      <c r="G19" s="8"/>
      <c r="H19" s="20"/>
      <c r="I19" s="19"/>
      <c r="J19" s="20"/>
      <c r="K19" s="19"/>
      <c r="L19" s="30"/>
    </row>
    <row r="20" spans="2:12" ht="15.75">
      <c r="B20" s="2"/>
      <c r="C20" s="8"/>
      <c r="D20" s="21"/>
      <c r="E20" s="8"/>
      <c r="F20" s="8"/>
      <c r="G20" s="8"/>
      <c r="H20" s="20"/>
      <c r="I20" s="19"/>
      <c r="J20" s="20"/>
      <c r="K20" s="19"/>
      <c r="L20" s="30"/>
    </row>
    <row r="21" spans="2:12" ht="15.75">
      <c r="B21" s="2"/>
      <c r="C21" s="8"/>
      <c r="D21" s="21"/>
      <c r="E21" s="8"/>
      <c r="F21" s="8"/>
      <c r="G21" s="8"/>
      <c r="H21" s="20"/>
      <c r="I21" s="19"/>
      <c r="J21" s="20"/>
      <c r="K21" s="19"/>
      <c r="L21" s="30"/>
    </row>
    <row r="22" spans="2:12" ht="15.75">
      <c r="B22" s="2"/>
      <c r="C22" s="8"/>
      <c r="D22" s="21"/>
      <c r="E22" s="8"/>
      <c r="F22" s="21"/>
      <c r="G22" s="8"/>
      <c r="H22" s="20"/>
      <c r="I22" s="19"/>
      <c r="J22" s="20"/>
      <c r="K22" s="19"/>
      <c r="L22" s="30"/>
    </row>
    <row r="23" spans="2:12" ht="15.75">
      <c r="B23" s="2"/>
      <c r="C23" s="8"/>
      <c r="D23" s="8"/>
      <c r="E23" s="8"/>
      <c r="F23" s="8"/>
      <c r="G23" s="8"/>
      <c r="H23" s="20"/>
      <c r="I23" s="19"/>
      <c r="J23" s="20"/>
      <c r="K23" s="19"/>
      <c r="L23" s="30"/>
    </row>
    <row r="24" spans="2:12" ht="15.75">
      <c r="B24" s="2"/>
      <c r="C24" s="8"/>
      <c r="D24" s="8"/>
      <c r="E24" s="8"/>
      <c r="F24" s="8"/>
      <c r="G24" s="8"/>
      <c r="H24" s="20"/>
      <c r="I24" s="19"/>
      <c r="J24" s="20"/>
      <c r="K24" s="19"/>
      <c r="L24" s="30"/>
    </row>
    <row r="25" spans="2:12" ht="15.75">
      <c r="B25" s="2"/>
      <c r="C25" s="8"/>
      <c r="D25" s="8"/>
      <c r="E25" s="8"/>
      <c r="F25" s="8"/>
      <c r="G25" s="8"/>
      <c r="H25" s="20"/>
      <c r="I25" s="19"/>
      <c r="J25" s="20"/>
      <c r="K25" s="19"/>
      <c r="L25" s="30"/>
    </row>
    <row r="26" spans="2:12" ht="15.75">
      <c r="B26" s="2"/>
      <c r="C26" s="8"/>
      <c r="D26" s="21"/>
      <c r="E26" s="21"/>
      <c r="F26" s="29"/>
      <c r="G26" s="8"/>
      <c r="H26" s="20"/>
      <c r="I26" s="19"/>
      <c r="J26" s="20"/>
      <c r="K26" s="19"/>
      <c r="L26" s="30"/>
    </row>
    <row r="27" spans="2:12" ht="15.75">
      <c r="B27" s="2"/>
      <c r="C27" s="8"/>
      <c r="D27" s="8"/>
      <c r="E27" s="8"/>
      <c r="F27" s="8"/>
      <c r="G27" s="8"/>
      <c r="H27" s="20"/>
      <c r="I27" s="19"/>
      <c r="J27" s="20"/>
      <c r="K27" s="19"/>
      <c r="L27" s="30"/>
    </row>
    <row r="28" spans="2:12" ht="15.75">
      <c r="B28" s="2"/>
      <c r="C28" s="21"/>
      <c r="D28" s="21"/>
      <c r="E28" s="21"/>
      <c r="F28" s="8"/>
      <c r="G28" s="8"/>
      <c r="H28" s="20"/>
      <c r="I28" s="19"/>
      <c r="J28" s="20"/>
      <c r="K28" s="19"/>
      <c r="L28" s="30"/>
    </row>
    <row r="29" spans="2:12" ht="15.75">
      <c r="B29" s="2"/>
      <c r="C29" s="8"/>
      <c r="D29" s="8"/>
      <c r="E29" s="21"/>
      <c r="F29" s="21"/>
      <c r="G29" s="8"/>
      <c r="H29" s="20"/>
      <c r="I29" s="19"/>
      <c r="J29" s="20"/>
      <c r="K29" s="19"/>
      <c r="L29" s="30"/>
    </row>
    <row r="30" spans="2:12" ht="15.75">
      <c r="B30" s="2"/>
      <c r="C30" s="8"/>
      <c r="D30" s="8"/>
      <c r="E30" s="8"/>
      <c r="F30" s="21"/>
      <c r="G30" s="8"/>
      <c r="H30" s="20"/>
      <c r="I30" s="19"/>
      <c r="J30" s="20"/>
      <c r="K30" s="19"/>
      <c r="L30" s="30"/>
    </row>
    <row r="31" spans="2:12" ht="15.75">
      <c r="B31" s="2"/>
      <c r="C31" s="8"/>
      <c r="D31" s="8"/>
      <c r="E31" s="8"/>
      <c r="F31" s="21"/>
      <c r="G31" s="8"/>
      <c r="H31" s="20"/>
      <c r="I31" s="19"/>
      <c r="J31" s="20"/>
      <c r="K31" s="19"/>
      <c r="L31" s="30"/>
    </row>
    <row r="32" spans="2:12" ht="15.75">
      <c r="B32" s="2"/>
      <c r="C32" s="8"/>
      <c r="D32" s="8"/>
      <c r="E32" s="8"/>
      <c r="F32" s="21"/>
      <c r="G32" s="8"/>
      <c r="H32" s="20"/>
      <c r="I32" s="19"/>
      <c r="J32" s="20"/>
      <c r="K32" s="19"/>
      <c r="L32" s="30"/>
    </row>
    <row r="33" spans="2:12" ht="15.75">
      <c r="B33" s="2"/>
      <c r="C33" s="8"/>
      <c r="D33" s="8"/>
      <c r="E33" s="8"/>
      <c r="F33" s="8"/>
      <c r="G33" s="8"/>
      <c r="H33" s="20"/>
      <c r="I33" s="19"/>
      <c r="J33" s="20"/>
      <c r="K33" s="19"/>
      <c r="L33" s="30"/>
    </row>
    <row r="34" spans="2:12" ht="15.75">
      <c r="B34" s="2"/>
      <c r="C34" s="8"/>
      <c r="D34" s="8"/>
      <c r="E34" s="8"/>
      <c r="F34" s="8"/>
      <c r="G34" s="8"/>
      <c r="H34" s="20"/>
      <c r="I34" s="19"/>
      <c r="J34" s="20"/>
      <c r="K34" s="19"/>
      <c r="L34" s="30"/>
    </row>
    <row r="35" spans="2:12" ht="15.75">
      <c r="B35" s="21"/>
      <c r="C35" s="172"/>
      <c r="D35" s="172"/>
      <c r="E35" s="172"/>
      <c r="F35" s="172"/>
      <c r="G35" s="21"/>
      <c r="H35" s="161"/>
      <c r="I35" s="162"/>
      <c r="J35" s="163"/>
      <c r="K35" s="163"/>
      <c r="L35" s="163"/>
    </row>
    <row r="36" spans="2:12" ht="15.75">
      <c r="B36" s="21"/>
      <c r="C36" s="172"/>
      <c r="D36" s="172"/>
      <c r="E36" s="172"/>
      <c r="F36" s="172"/>
      <c r="G36" s="172"/>
      <c r="H36" s="21"/>
      <c r="I36" s="21"/>
      <c r="J36" s="21"/>
      <c r="K36" s="163"/>
      <c r="L36" s="21"/>
    </row>
    <row r="37" spans="2:12" ht="15.75">
      <c r="B37" s="21"/>
      <c r="C37" s="172"/>
      <c r="D37" s="172"/>
      <c r="E37" s="172"/>
      <c r="F37" s="172"/>
      <c r="G37" s="172"/>
      <c r="H37" s="21"/>
      <c r="I37" s="21"/>
      <c r="J37" s="21"/>
      <c r="K37" s="162"/>
      <c r="L37" s="21"/>
    </row>
    <row r="38" spans="2:12" ht="15.75">
      <c r="B38" s="21"/>
      <c r="C38" s="172"/>
      <c r="D38" s="172"/>
      <c r="E38" s="172"/>
      <c r="F38" s="172"/>
      <c r="G38" s="172"/>
      <c r="H38" s="21"/>
      <c r="I38" s="21"/>
      <c r="J38" s="21"/>
      <c r="K38" s="163"/>
      <c r="L38" s="21"/>
    </row>
    <row r="40" spans="14:31" ht="15">
      <c r="N40" s="72" t="s">
        <v>86</v>
      </c>
      <c r="O40" s="66" t="s">
        <v>6</v>
      </c>
      <c r="P40" s="66" t="s">
        <v>88</v>
      </c>
      <c r="Q40" s="66" t="s">
        <v>3</v>
      </c>
      <c r="R40" s="66" t="s">
        <v>65</v>
      </c>
      <c r="S40" s="66" t="s">
        <v>66</v>
      </c>
      <c r="T40" s="67" t="s">
        <v>79</v>
      </c>
      <c r="U40" s="67" t="s">
        <v>81</v>
      </c>
      <c r="V40" s="67" t="s">
        <v>80</v>
      </c>
      <c r="W40" s="67" t="s">
        <v>87</v>
      </c>
      <c r="Z40" s="137"/>
      <c r="AA40" s="137"/>
      <c r="AB40" s="137"/>
      <c r="AD40" s="137"/>
      <c r="AE40" s="88"/>
    </row>
    <row r="41" spans="3:31" ht="15">
      <c r="C41" s="10"/>
      <c r="D41" s="10"/>
      <c r="E41" s="10"/>
      <c r="N41" s="73">
        <v>1</v>
      </c>
      <c r="O41" s="74" t="s">
        <v>158</v>
      </c>
      <c r="P41" s="68" t="s">
        <v>89</v>
      </c>
      <c r="Q41" s="68" t="s">
        <v>21</v>
      </c>
      <c r="R41" s="68" t="s">
        <v>177</v>
      </c>
      <c r="S41" s="75">
        <f>1+1+3+2+1</f>
        <v>8</v>
      </c>
      <c r="T41" s="76">
        <f aca="true" t="shared" si="0" ref="T41:T71">S41/960</f>
        <v>0.008333333333333333</v>
      </c>
      <c r="U41" s="78">
        <f>LN(T41)</f>
        <v>-4.787491742782046</v>
      </c>
      <c r="V41" s="76">
        <f>T41*U41</f>
        <v>-0.03989576452318371</v>
      </c>
      <c r="W41" s="85">
        <f>T41^2</f>
        <v>6.944444444444444E-05</v>
      </c>
      <c r="AB41" s="88"/>
      <c r="AE41" s="88"/>
    </row>
    <row r="42" spans="3:31" ht="15.75">
      <c r="C42" s="10"/>
      <c r="D42" s="21"/>
      <c r="E42" s="134"/>
      <c r="N42" s="73">
        <v>2</v>
      </c>
      <c r="O42" s="74" t="s">
        <v>158</v>
      </c>
      <c r="P42" s="68" t="s">
        <v>89</v>
      </c>
      <c r="Q42" s="68" t="s">
        <v>21</v>
      </c>
      <c r="R42" s="68" t="s">
        <v>162</v>
      </c>
      <c r="S42" s="75">
        <f>1+0+0+0+0</f>
        <v>1</v>
      </c>
      <c r="T42" s="76">
        <f t="shared" si="0"/>
        <v>0.0010416666666666667</v>
      </c>
      <c r="U42" s="78">
        <f aca="true" t="shared" si="1" ref="U42:U68">LN(T42)</f>
        <v>-6.866933284461882</v>
      </c>
      <c r="V42" s="76">
        <f aca="true" t="shared" si="2" ref="V42:V68">T42*U42</f>
        <v>-0.007153055504647793</v>
      </c>
      <c r="W42" s="82">
        <f aca="true" t="shared" si="3" ref="W42:W68">T42^2</f>
        <v>1.0850694444444444E-06</v>
      </c>
      <c r="AB42" s="88"/>
      <c r="AE42" s="88"/>
    </row>
    <row r="43" spans="3:31" ht="15.75">
      <c r="C43" s="10"/>
      <c r="D43" s="8"/>
      <c r="E43" s="134"/>
      <c r="N43" s="73">
        <v>3</v>
      </c>
      <c r="O43" s="75" t="s">
        <v>28</v>
      </c>
      <c r="P43" s="69" t="s">
        <v>89</v>
      </c>
      <c r="Q43" s="68" t="s">
        <v>26</v>
      </c>
      <c r="R43" s="68" t="s">
        <v>67</v>
      </c>
      <c r="S43" s="75">
        <f>4+0+13+0+0</f>
        <v>17</v>
      </c>
      <c r="T43" s="76">
        <f>S43/960</f>
        <v>0.017708333333333333</v>
      </c>
      <c r="U43" s="78">
        <f>LN(T43)</f>
        <v>-4.033719940405666</v>
      </c>
      <c r="V43" s="76">
        <f>T43*U43</f>
        <v>-0.071430457278017</v>
      </c>
      <c r="W43" s="82">
        <f>T43^2</f>
        <v>0.0003135850694444444</v>
      </c>
      <c r="AB43" s="88"/>
      <c r="AE43" s="88"/>
    </row>
    <row r="44" spans="3:31" ht="15.75">
      <c r="C44" s="10"/>
      <c r="D44" s="21"/>
      <c r="E44" s="134"/>
      <c r="N44" s="73">
        <v>4</v>
      </c>
      <c r="O44" s="74" t="s">
        <v>19</v>
      </c>
      <c r="P44" s="68" t="s">
        <v>89</v>
      </c>
      <c r="Q44" s="68" t="s">
        <v>29</v>
      </c>
      <c r="R44" s="69" t="s">
        <v>67</v>
      </c>
      <c r="S44" s="75">
        <f>6+3+7+0+0</f>
        <v>16</v>
      </c>
      <c r="T44" s="76">
        <f t="shared" si="0"/>
        <v>0.016666666666666666</v>
      </c>
      <c r="U44" s="78">
        <f t="shared" si="1"/>
        <v>-4.0943445622221</v>
      </c>
      <c r="V44" s="76">
        <f t="shared" si="2"/>
        <v>-0.06823907603703501</v>
      </c>
      <c r="W44" s="82">
        <f t="shared" si="3"/>
        <v>0.0002777777777777778</v>
      </c>
      <c r="AB44" s="88"/>
      <c r="AE44" s="88"/>
    </row>
    <row r="45" spans="3:31" ht="15">
      <c r="C45" s="10"/>
      <c r="D45" s="69"/>
      <c r="E45" s="134"/>
      <c r="N45" s="73">
        <v>5</v>
      </c>
      <c r="O45" s="75" t="s">
        <v>19</v>
      </c>
      <c r="P45" s="69" t="s">
        <v>91</v>
      </c>
      <c r="Q45" s="69" t="s">
        <v>20</v>
      </c>
      <c r="R45" s="68" t="s">
        <v>165</v>
      </c>
      <c r="S45" s="75">
        <f>7+1+21+4+12+13</f>
        <v>58</v>
      </c>
      <c r="T45" s="76">
        <f t="shared" si="0"/>
        <v>0.06041666666666667</v>
      </c>
      <c r="U45" s="78">
        <f t="shared" si="1"/>
        <v>-2.8064902739154625</v>
      </c>
      <c r="V45" s="76">
        <f t="shared" si="2"/>
        <v>-0.16955878738239252</v>
      </c>
      <c r="W45" s="82">
        <f t="shared" si="3"/>
        <v>0.003650173611111111</v>
      </c>
      <c r="AB45" s="88"/>
      <c r="AE45" s="88"/>
    </row>
    <row r="46" spans="3:31" ht="15">
      <c r="C46" s="10"/>
      <c r="D46" s="69"/>
      <c r="E46" s="134"/>
      <c r="N46" s="73">
        <v>6</v>
      </c>
      <c r="O46" s="75" t="s">
        <v>7</v>
      </c>
      <c r="P46" s="69" t="s">
        <v>91</v>
      </c>
      <c r="Q46" s="69" t="s">
        <v>20</v>
      </c>
      <c r="R46" s="68" t="s">
        <v>166</v>
      </c>
      <c r="S46" s="75">
        <f>0+5+0+0+0</f>
        <v>5</v>
      </c>
      <c r="T46" s="76">
        <f t="shared" si="0"/>
        <v>0.005208333333333333</v>
      </c>
      <c r="U46" s="78">
        <f t="shared" si="1"/>
        <v>-5.2574953720277815</v>
      </c>
      <c r="V46" s="76">
        <f t="shared" si="2"/>
        <v>-0.027382788395978026</v>
      </c>
      <c r="W46" s="82">
        <f t="shared" si="3"/>
        <v>2.712673611111111E-05</v>
      </c>
      <c r="AB46" s="88"/>
      <c r="AE46" s="88"/>
    </row>
    <row r="47" spans="3:28" ht="15.75">
      <c r="C47" s="10"/>
      <c r="D47" s="8"/>
      <c r="E47" s="134"/>
      <c r="N47" s="73">
        <v>7</v>
      </c>
      <c r="O47" s="74" t="s">
        <v>7</v>
      </c>
      <c r="P47" s="68" t="s">
        <v>91</v>
      </c>
      <c r="Q47" s="69" t="s">
        <v>8</v>
      </c>
      <c r="R47" s="69" t="s">
        <v>167</v>
      </c>
      <c r="S47" s="75">
        <f>10+36+29+16+2</f>
        <v>93</v>
      </c>
      <c r="T47" s="76">
        <f t="shared" si="0"/>
        <v>0.096875</v>
      </c>
      <c r="U47" s="78">
        <f t="shared" si="1"/>
        <v>-2.334333791308626</v>
      </c>
      <c r="V47" s="76">
        <f t="shared" si="2"/>
        <v>-0.22613858603302317</v>
      </c>
      <c r="W47" s="82">
        <f t="shared" si="3"/>
        <v>0.009384765625000001</v>
      </c>
      <c r="AB47" s="88"/>
    </row>
    <row r="48" spans="3:23" ht="15.75">
      <c r="C48" s="10"/>
      <c r="D48" s="8"/>
      <c r="E48" s="134"/>
      <c r="N48" s="73">
        <v>8</v>
      </c>
      <c r="O48" s="74" t="s">
        <v>7</v>
      </c>
      <c r="P48" s="68" t="s">
        <v>91</v>
      </c>
      <c r="Q48" s="69" t="s">
        <v>8</v>
      </c>
      <c r="R48" s="69" t="s">
        <v>168</v>
      </c>
      <c r="S48" s="75">
        <f>1+2+0+0+0</f>
        <v>3</v>
      </c>
      <c r="T48" s="76">
        <f t="shared" si="0"/>
        <v>0.003125</v>
      </c>
      <c r="U48" s="78">
        <f t="shared" si="1"/>
        <v>-5.768320995793772</v>
      </c>
      <c r="V48" s="76">
        <f t="shared" si="2"/>
        <v>-0.018026003111855537</v>
      </c>
      <c r="W48" s="82">
        <f t="shared" si="3"/>
        <v>9.765625000000002E-06</v>
      </c>
    </row>
    <row r="49" spans="3:23" ht="15">
      <c r="C49" s="10"/>
      <c r="D49" s="10"/>
      <c r="E49" s="135"/>
      <c r="N49" s="73">
        <v>9</v>
      </c>
      <c r="O49" s="74" t="s">
        <v>7</v>
      </c>
      <c r="P49" s="68" t="s">
        <v>91</v>
      </c>
      <c r="Q49" s="69" t="s">
        <v>8</v>
      </c>
      <c r="R49" s="69" t="s">
        <v>169</v>
      </c>
      <c r="S49" s="75">
        <f>52+97+19+13+32</f>
        <v>213</v>
      </c>
      <c r="T49" s="76">
        <f t="shared" si="0"/>
        <v>0.221875</v>
      </c>
      <c r="U49" s="78">
        <f t="shared" si="1"/>
        <v>-1.5056411187524568</v>
      </c>
      <c r="V49" s="76">
        <f t="shared" si="2"/>
        <v>-0.33406412322320134</v>
      </c>
      <c r="W49" s="82">
        <f t="shared" si="3"/>
        <v>0.049228515625</v>
      </c>
    </row>
    <row r="50" spans="14:23" ht="15">
      <c r="N50" s="73">
        <v>10</v>
      </c>
      <c r="O50" s="75" t="s">
        <v>7</v>
      </c>
      <c r="P50" s="69" t="s">
        <v>91</v>
      </c>
      <c r="Q50" s="69" t="s">
        <v>8</v>
      </c>
      <c r="R50" s="69" t="s">
        <v>170</v>
      </c>
      <c r="S50" s="75">
        <f>8+59+7+15+2</f>
        <v>91</v>
      </c>
      <c r="T50" s="76">
        <f t="shared" si="0"/>
        <v>0.09479166666666666</v>
      </c>
      <c r="U50" s="78">
        <f>LN(T50)</f>
        <v>-2.356073777945032</v>
      </c>
      <c r="V50" s="76">
        <f>T50*U50</f>
        <v>-0.22333616020103947</v>
      </c>
      <c r="W50" s="82">
        <f>T50^2</f>
        <v>0.008985460069444444</v>
      </c>
    </row>
    <row r="51" spans="14:23" ht="15">
      <c r="N51" s="73">
        <v>11</v>
      </c>
      <c r="O51" s="75" t="s">
        <v>7</v>
      </c>
      <c r="P51" s="68" t="s">
        <v>91</v>
      </c>
      <c r="Q51" s="69" t="s">
        <v>8</v>
      </c>
      <c r="R51" s="68" t="s">
        <v>9</v>
      </c>
      <c r="S51" s="75">
        <f>34+13+11+17+36</f>
        <v>111</v>
      </c>
      <c r="T51" s="76">
        <f t="shared" si="0"/>
        <v>0.115625</v>
      </c>
      <c r="U51" s="78">
        <f t="shared" si="1"/>
        <v>-2.1574030831495477</v>
      </c>
      <c r="V51" s="76">
        <f t="shared" si="2"/>
        <v>-0.24944973148916647</v>
      </c>
      <c r="W51" s="82">
        <f t="shared" si="3"/>
        <v>0.013369140625000001</v>
      </c>
    </row>
    <row r="52" spans="14:23" ht="15">
      <c r="N52" s="73">
        <v>12</v>
      </c>
      <c r="O52" s="75" t="s">
        <v>7</v>
      </c>
      <c r="P52" s="68" t="s">
        <v>91</v>
      </c>
      <c r="Q52" s="69" t="s">
        <v>8</v>
      </c>
      <c r="R52" s="68" t="s">
        <v>16</v>
      </c>
      <c r="S52" s="75">
        <f>1+2+19+4+4</f>
        <v>30</v>
      </c>
      <c r="T52" s="76">
        <f t="shared" si="0"/>
        <v>0.03125</v>
      </c>
      <c r="U52" s="78">
        <f t="shared" si="1"/>
        <v>-3.4657359027997265</v>
      </c>
      <c r="V52" s="76">
        <f t="shared" si="2"/>
        <v>-0.10830424696249145</v>
      </c>
      <c r="W52" s="82">
        <f t="shared" si="3"/>
        <v>0.0009765625</v>
      </c>
    </row>
    <row r="53" spans="14:23" ht="15">
      <c r="N53" s="73">
        <v>13</v>
      </c>
      <c r="O53" s="75" t="s">
        <v>7</v>
      </c>
      <c r="P53" s="68" t="s">
        <v>91</v>
      </c>
      <c r="Q53" s="69" t="s">
        <v>8</v>
      </c>
      <c r="R53" s="68" t="s">
        <v>23</v>
      </c>
      <c r="S53" s="75">
        <f>0+5+0+0+0</f>
        <v>5</v>
      </c>
      <c r="T53" s="76">
        <f t="shared" si="0"/>
        <v>0.005208333333333333</v>
      </c>
      <c r="U53" s="78">
        <f t="shared" si="1"/>
        <v>-5.2574953720277815</v>
      </c>
      <c r="V53" s="76">
        <f t="shared" si="2"/>
        <v>-0.027382788395978026</v>
      </c>
      <c r="W53" s="82">
        <f t="shared" si="3"/>
        <v>2.712673611111111E-05</v>
      </c>
    </row>
    <row r="54" spans="14:23" ht="15">
      <c r="N54" s="73">
        <v>14</v>
      </c>
      <c r="O54" s="75" t="s">
        <v>7</v>
      </c>
      <c r="P54" s="68" t="s">
        <v>91</v>
      </c>
      <c r="Q54" s="69" t="s">
        <v>8</v>
      </c>
      <c r="R54" s="68" t="s">
        <v>31</v>
      </c>
      <c r="S54" s="75">
        <f>0+1+0+4+0</f>
        <v>5</v>
      </c>
      <c r="T54" s="76">
        <f t="shared" si="0"/>
        <v>0.005208333333333333</v>
      </c>
      <c r="U54" s="78">
        <f t="shared" si="1"/>
        <v>-5.2574953720277815</v>
      </c>
      <c r="V54" s="76">
        <f t="shared" si="2"/>
        <v>-0.027382788395978026</v>
      </c>
      <c r="W54" s="82">
        <f t="shared" si="3"/>
        <v>2.712673611111111E-05</v>
      </c>
    </row>
    <row r="55" spans="14:23" ht="15">
      <c r="N55" s="73">
        <v>15</v>
      </c>
      <c r="O55" s="75" t="s">
        <v>7</v>
      </c>
      <c r="P55" s="68" t="s">
        <v>91</v>
      </c>
      <c r="Q55" s="69" t="s">
        <v>14</v>
      </c>
      <c r="R55" s="68" t="s">
        <v>9</v>
      </c>
      <c r="S55" s="75">
        <f>0+2+0+1+4</f>
        <v>7</v>
      </c>
      <c r="T55" s="76">
        <f t="shared" si="0"/>
        <v>0.007291666666666667</v>
      </c>
      <c r="U55" s="78">
        <f t="shared" si="1"/>
        <v>-4.9210231354065685</v>
      </c>
      <c r="V55" s="76">
        <f t="shared" si="2"/>
        <v>-0.035882460362339566</v>
      </c>
      <c r="W55" s="82">
        <f t="shared" si="3"/>
        <v>5.316840277777778E-05</v>
      </c>
    </row>
    <row r="56" spans="3:23" ht="15">
      <c r="C56" s="10"/>
      <c r="D56" s="10"/>
      <c r="E56" s="10"/>
      <c r="N56" s="73">
        <v>16</v>
      </c>
      <c r="O56" s="75" t="s">
        <v>7</v>
      </c>
      <c r="P56" s="68" t="s">
        <v>91</v>
      </c>
      <c r="Q56" s="69" t="s">
        <v>14</v>
      </c>
      <c r="R56" s="68" t="s">
        <v>16</v>
      </c>
      <c r="S56" s="75">
        <f>0+4+0+0+1</f>
        <v>5</v>
      </c>
      <c r="T56" s="76">
        <f t="shared" si="0"/>
        <v>0.005208333333333333</v>
      </c>
      <c r="U56" s="78">
        <f t="shared" si="1"/>
        <v>-5.2574953720277815</v>
      </c>
      <c r="V56" s="76">
        <f t="shared" si="2"/>
        <v>-0.027382788395978026</v>
      </c>
      <c r="W56" s="82">
        <f t="shared" si="3"/>
        <v>2.712673611111111E-05</v>
      </c>
    </row>
    <row r="57" spans="3:23" ht="15.75">
      <c r="C57" s="10"/>
      <c r="D57" s="21"/>
      <c r="E57" s="134"/>
      <c r="N57" s="73">
        <v>17</v>
      </c>
      <c r="O57" s="75" t="s">
        <v>7</v>
      </c>
      <c r="P57" s="68" t="s">
        <v>91</v>
      </c>
      <c r="Q57" s="69" t="s">
        <v>14</v>
      </c>
      <c r="R57" s="68" t="s">
        <v>23</v>
      </c>
      <c r="S57" s="75">
        <f>0+0+1+4+0</f>
        <v>5</v>
      </c>
      <c r="T57" s="76">
        <f t="shared" si="0"/>
        <v>0.005208333333333333</v>
      </c>
      <c r="U57" s="78">
        <f t="shared" si="1"/>
        <v>-5.2574953720277815</v>
      </c>
      <c r="V57" s="76">
        <f t="shared" si="2"/>
        <v>-0.027382788395978026</v>
      </c>
      <c r="W57" s="82">
        <f t="shared" si="3"/>
        <v>2.712673611111111E-05</v>
      </c>
    </row>
    <row r="58" spans="3:23" ht="15.75">
      <c r="C58" s="10"/>
      <c r="D58" s="8"/>
      <c r="E58" s="134"/>
      <c r="N58" s="73">
        <v>18</v>
      </c>
      <c r="O58" s="75" t="s">
        <v>7</v>
      </c>
      <c r="P58" s="68" t="s">
        <v>91</v>
      </c>
      <c r="Q58" s="69" t="s">
        <v>14</v>
      </c>
      <c r="R58" s="68" t="s">
        <v>31</v>
      </c>
      <c r="S58" s="75">
        <f>0+13+0+0+0</f>
        <v>13</v>
      </c>
      <c r="T58" s="76">
        <f t="shared" si="0"/>
        <v>0.013541666666666667</v>
      </c>
      <c r="U58" s="78">
        <f t="shared" si="1"/>
        <v>-4.301983927000345</v>
      </c>
      <c r="V58" s="76">
        <f t="shared" si="2"/>
        <v>-0.05825603234479634</v>
      </c>
      <c r="W58" s="82">
        <f t="shared" si="3"/>
        <v>0.00018337673611111113</v>
      </c>
    </row>
    <row r="59" spans="3:23" ht="15.75">
      <c r="C59" s="10"/>
      <c r="D59" s="21"/>
      <c r="E59" s="134"/>
      <c r="N59" s="73">
        <v>19</v>
      </c>
      <c r="O59" s="75" t="s">
        <v>7</v>
      </c>
      <c r="P59" s="68" t="s">
        <v>91</v>
      </c>
      <c r="Q59" s="69" t="s">
        <v>12</v>
      </c>
      <c r="R59" s="69" t="s">
        <v>171</v>
      </c>
      <c r="S59" s="75">
        <f>0+3+2+0+0</f>
        <v>5</v>
      </c>
      <c r="T59" s="76">
        <f t="shared" si="0"/>
        <v>0.005208333333333333</v>
      </c>
      <c r="U59" s="78">
        <f t="shared" si="1"/>
        <v>-5.2574953720277815</v>
      </c>
      <c r="V59" s="76">
        <f t="shared" si="2"/>
        <v>-0.027382788395978026</v>
      </c>
      <c r="W59" s="82">
        <f t="shared" si="3"/>
        <v>2.712673611111111E-05</v>
      </c>
    </row>
    <row r="60" spans="3:23" ht="15">
      <c r="C60" s="10"/>
      <c r="D60" s="69"/>
      <c r="E60" s="134"/>
      <c r="N60" s="73">
        <v>20</v>
      </c>
      <c r="O60" s="75" t="s">
        <v>7</v>
      </c>
      <c r="P60" s="68" t="s">
        <v>91</v>
      </c>
      <c r="Q60" s="69" t="s">
        <v>12</v>
      </c>
      <c r="R60" s="69" t="s">
        <v>172</v>
      </c>
      <c r="S60" s="75">
        <f>16+10+16+34+26</f>
        <v>102</v>
      </c>
      <c r="T60" s="76">
        <f t="shared" si="0"/>
        <v>0.10625</v>
      </c>
      <c r="U60" s="78">
        <f t="shared" si="1"/>
        <v>-2.241960471177611</v>
      </c>
      <c r="V60" s="76">
        <f t="shared" si="2"/>
        <v>-0.23820830006262114</v>
      </c>
      <c r="W60" s="82">
        <f t="shared" si="3"/>
        <v>0.011289062499999999</v>
      </c>
    </row>
    <row r="61" spans="3:23" ht="15">
      <c r="C61" s="10"/>
      <c r="D61" s="69"/>
      <c r="E61" s="134"/>
      <c r="N61" s="73">
        <v>21</v>
      </c>
      <c r="O61" s="75" t="s">
        <v>7</v>
      </c>
      <c r="P61" s="68" t="s">
        <v>91</v>
      </c>
      <c r="Q61" s="69" t="s">
        <v>36</v>
      </c>
      <c r="R61" s="68" t="s">
        <v>67</v>
      </c>
      <c r="S61" s="75">
        <f>4+4+0+0+0</f>
        <v>8</v>
      </c>
      <c r="T61" s="76">
        <f t="shared" si="0"/>
        <v>0.008333333333333333</v>
      </c>
      <c r="U61" s="78">
        <f t="shared" si="1"/>
        <v>-4.787491742782046</v>
      </c>
      <c r="V61" s="76">
        <f t="shared" si="2"/>
        <v>-0.03989576452318371</v>
      </c>
      <c r="W61" s="82">
        <f t="shared" si="3"/>
        <v>6.944444444444444E-05</v>
      </c>
    </row>
    <row r="62" spans="3:23" ht="15.75">
      <c r="C62" s="10"/>
      <c r="D62" s="8"/>
      <c r="E62" s="134"/>
      <c r="N62" s="73">
        <v>22</v>
      </c>
      <c r="O62" s="74" t="s">
        <v>159</v>
      </c>
      <c r="P62" s="68" t="s">
        <v>96</v>
      </c>
      <c r="Q62" s="68" t="s">
        <v>35</v>
      </c>
      <c r="R62" s="70" t="s">
        <v>173</v>
      </c>
      <c r="S62" s="75">
        <f>2+0+0+0+0</f>
        <v>2</v>
      </c>
      <c r="T62" s="76">
        <f t="shared" si="0"/>
        <v>0.0020833333333333333</v>
      </c>
      <c r="U62" s="78">
        <f t="shared" si="1"/>
        <v>-6.173786103901937</v>
      </c>
      <c r="V62" s="76">
        <f t="shared" si="2"/>
        <v>-0.012862054383129035</v>
      </c>
      <c r="W62" s="82">
        <f t="shared" si="3"/>
        <v>4.340277777777778E-06</v>
      </c>
    </row>
    <row r="63" spans="3:23" ht="15.75">
      <c r="C63" s="10"/>
      <c r="D63" s="8"/>
      <c r="E63" s="134"/>
      <c r="N63" s="73">
        <v>23</v>
      </c>
      <c r="O63" s="75" t="s">
        <v>28</v>
      </c>
      <c r="P63" s="69" t="s">
        <v>92</v>
      </c>
      <c r="Q63" s="69" t="s">
        <v>59</v>
      </c>
      <c r="R63" s="69" t="s">
        <v>67</v>
      </c>
      <c r="S63" s="75">
        <f>0+1+0+0+0</f>
        <v>1</v>
      </c>
      <c r="T63" s="76">
        <f t="shared" si="0"/>
        <v>0.0010416666666666667</v>
      </c>
      <c r="U63" s="78">
        <f t="shared" si="1"/>
        <v>-6.866933284461882</v>
      </c>
      <c r="V63" s="76">
        <f t="shared" si="2"/>
        <v>-0.007153055504647793</v>
      </c>
      <c r="W63" s="82">
        <f t="shared" si="3"/>
        <v>1.0850694444444444E-06</v>
      </c>
    </row>
    <row r="64" spans="5:23" ht="15">
      <c r="E64" s="89"/>
      <c r="N64" s="73">
        <v>24</v>
      </c>
      <c r="O64" s="75" t="s">
        <v>7</v>
      </c>
      <c r="P64" s="69" t="s">
        <v>94</v>
      </c>
      <c r="Q64" s="69" t="s">
        <v>57</v>
      </c>
      <c r="R64" s="69" t="s">
        <v>174</v>
      </c>
      <c r="S64" s="75">
        <f>0+3+4+0+0</f>
        <v>7</v>
      </c>
      <c r="T64" s="76">
        <f t="shared" si="0"/>
        <v>0.007291666666666667</v>
      </c>
      <c r="U64" s="78">
        <f t="shared" si="1"/>
        <v>-4.9210231354065685</v>
      </c>
      <c r="V64" s="76">
        <f t="shared" si="2"/>
        <v>-0.035882460362339566</v>
      </c>
      <c r="W64" s="82">
        <f t="shared" si="3"/>
        <v>5.316840277777778E-05</v>
      </c>
    </row>
    <row r="65" spans="14:23" ht="15">
      <c r="N65" s="73">
        <v>25</v>
      </c>
      <c r="O65" s="73" t="s">
        <v>28</v>
      </c>
      <c r="P65" s="69" t="s">
        <v>95</v>
      </c>
      <c r="Q65" s="69" t="s">
        <v>25</v>
      </c>
      <c r="R65" s="69" t="s">
        <v>175</v>
      </c>
      <c r="S65" s="75">
        <f>1+4+5+0+0</f>
        <v>10</v>
      </c>
      <c r="T65" s="76">
        <f t="shared" si="0"/>
        <v>0.010416666666666666</v>
      </c>
      <c r="U65" s="78">
        <f t="shared" si="1"/>
        <v>-4.564348191467836</v>
      </c>
      <c r="V65" s="76">
        <f t="shared" si="2"/>
        <v>-0.04754529366112329</v>
      </c>
      <c r="W65" s="82">
        <f t="shared" si="3"/>
        <v>0.00010850694444444444</v>
      </c>
    </row>
    <row r="66" spans="14:23" ht="15">
      <c r="N66" s="73">
        <v>26</v>
      </c>
      <c r="O66" s="74" t="s">
        <v>28</v>
      </c>
      <c r="P66" s="69" t="s">
        <v>95</v>
      </c>
      <c r="Q66" s="69" t="s">
        <v>25</v>
      </c>
      <c r="R66" s="69" t="s">
        <v>67</v>
      </c>
      <c r="S66" s="75">
        <f>1+0+0+2+0</f>
        <v>3</v>
      </c>
      <c r="T66" s="76">
        <f t="shared" si="0"/>
        <v>0.003125</v>
      </c>
      <c r="U66" s="78">
        <f t="shared" si="1"/>
        <v>-5.768320995793772</v>
      </c>
      <c r="V66" s="76">
        <f t="shared" si="2"/>
        <v>-0.018026003111855537</v>
      </c>
      <c r="W66" s="82">
        <f t="shared" si="3"/>
        <v>9.765625000000002E-06</v>
      </c>
    </row>
    <row r="67" spans="14:23" ht="15">
      <c r="N67" s="73">
        <v>27</v>
      </c>
      <c r="O67" s="73" t="s">
        <v>7</v>
      </c>
      <c r="P67" s="69" t="s">
        <v>93</v>
      </c>
      <c r="Q67" s="69" t="s">
        <v>78</v>
      </c>
      <c r="R67" s="68" t="s">
        <v>67</v>
      </c>
      <c r="S67" s="75">
        <f>3+0+0+0+0</f>
        <v>3</v>
      </c>
      <c r="T67" s="76">
        <f t="shared" si="0"/>
        <v>0.003125</v>
      </c>
      <c r="U67" s="78">
        <f t="shared" si="1"/>
        <v>-5.768320995793772</v>
      </c>
      <c r="V67" s="76">
        <f t="shared" si="2"/>
        <v>-0.018026003111855537</v>
      </c>
      <c r="W67" s="82">
        <f t="shared" si="3"/>
        <v>9.765625000000002E-06</v>
      </c>
    </row>
    <row r="68" spans="14:23" ht="15">
      <c r="N68" s="73">
        <v>28</v>
      </c>
      <c r="O68" s="73" t="s">
        <v>7</v>
      </c>
      <c r="P68" s="69" t="s">
        <v>93</v>
      </c>
      <c r="Q68" s="69" t="s">
        <v>11</v>
      </c>
      <c r="R68" s="69" t="s">
        <v>176</v>
      </c>
      <c r="S68" s="75">
        <f>7+0+12+9+3</f>
        <v>31</v>
      </c>
      <c r="T68" s="76">
        <f t="shared" si="0"/>
        <v>0.03229166666666667</v>
      </c>
      <c r="U68" s="78">
        <f t="shared" si="1"/>
        <v>-3.4329460799767357</v>
      </c>
      <c r="V68" s="76">
        <f t="shared" si="2"/>
        <v>-0.11085555049924876</v>
      </c>
      <c r="W68" s="82">
        <f t="shared" si="3"/>
        <v>0.0010427517361111113</v>
      </c>
    </row>
    <row r="69" spans="14:23" ht="15">
      <c r="N69" s="73">
        <v>29</v>
      </c>
      <c r="O69" s="73" t="s">
        <v>7</v>
      </c>
      <c r="P69" s="69" t="s">
        <v>93</v>
      </c>
      <c r="Q69" s="69" t="s">
        <v>11</v>
      </c>
      <c r="R69" s="69" t="s">
        <v>67</v>
      </c>
      <c r="S69" s="75">
        <f>10+1+9+28+41</f>
        <v>89</v>
      </c>
      <c r="T69" s="76">
        <f>S69/960</f>
        <v>0.09270833333333334</v>
      </c>
      <c r="U69" s="78">
        <f>LN(T69)</f>
        <v>-2.378296914729742</v>
      </c>
      <c r="V69" s="76">
        <f>T69*U69</f>
        <v>-0.22048794313640316</v>
      </c>
      <c r="W69" s="82">
        <f>T69^2</f>
        <v>0.008594835069444445</v>
      </c>
    </row>
    <row r="70" spans="14:23" ht="15">
      <c r="N70" s="73">
        <v>30</v>
      </c>
      <c r="O70" s="75" t="s">
        <v>19</v>
      </c>
      <c r="P70" s="69" t="s">
        <v>164</v>
      </c>
      <c r="Q70" s="69" t="s">
        <v>163</v>
      </c>
      <c r="R70" s="69" t="s">
        <v>67</v>
      </c>
      <c r="S70" s="75">
        <f>0+0+13+0+0</f>
        <v>13</v>
      </c>
      <c r="T70" s="76">
        <f>S70/960</f>
        <v>0.013541666666666667</v>
      </c>
      <c r="U70" s="78">
        <f>LN(T70)</f>
        <v>-4.301983927000345</v>
      </c>
      <c r="V70" s="76">
        <f>T70*U70</f>
        <v>-0.05825603234479634</v>
      </c>
      <c r="W70" s="82">
        <f>T70^2</f>
        <v>0.00018337673611111113</v>
      </c>
    </row>
    <row r="71" spans="5:23" ht="15">
      <c r="E71" s="88"/>
      <c r="N71" s="143"/>
      <c r="O71" s="175" t="s">
        <v>82</v>
      </c>
      <c r="P71" s="175"/>
      <c r="Q71" s="175"/>
      <c r="R71" s="175"/>
      <c r="S71" s="143">
        <f>SUM(S41:S70)</f>
        <v>960</v>
      </c>
      <c r="T71" s="77">
        <f t="shared" si="0"/>
        <v>1</v>
      </c>
      <c r="U71" s="79">
        <f>SUM(U41:U69)</f>
        <v>-127.84789568360182</v>
      </c>
      <c r="V71" s="79">
        <f>SUM(V41:V69)</f>
        <v>-2.5229736431854652</v>
      </c>
      <c r="W71" s="79">
        <f>SUM(W41:W69)</f>
        <v>0.10784830729166665</v>
      </c>
    </row>
    <row r="72" spans="5:23" ht="15">
      <c r="E72" s="88"/>
      <c r="N72" s="176" t="s">
        <v>83</v>
      </c>
      <c r="O72" s="176"/>
      <c r="P72" s="176"/>
      <c r="Q72" s="176"/>
      <c r="R72" s="176"/>
      <c r="S72" s="140"/>
      <c r="T72" s="140"/>
      <c r="U72" s="140"/>
      <c r="V72" s="145">
        <f>-(V71)</f>
        <v>2.5229736431854652</v>
      </c>
      <c r="W72" s="140"/>
    </row>
    <row r="73" spans="5:23" ht="15">
      <c r="E73" s="88"/>
      <c r="N73" s="173" t="s">
        <v>84</v>
      </c>
      <c r="O73" s="173"/>
      <c r="P73" s="173"/>
      <c r="Q73" s="173"/>
      <c r="R73" s="173"/>
      <c r="S73" s="141"/>
      <c r="T73" s="141"/>
      <c r="U73" s="141"/>
      <c r="V73" s="144">
        <f>V72/LN(30)</f>
        <v>0.7417898346001005</v>
      </c>
      <c r="W73" s="141"/>
    </row>
    <row r="74" spans="5:23" ht="15">
      <c r="E74" s="88"/>
      <c r="N74" s="174" t="s">
        <v>85</v>
      </c>
      <c r="O74" s="174"/>
      <c r="P74" s="174"/>
      <c r="Q74" s="174"/>
      <c r="R74" s="174"/>
      <c r="S74" s="142"/>
      <c r="T74" s="142"/>
      <c r="U74" s="142"/>
      <c r="V74" s="146">
        <v>0.11</v>
      </c>
      <c r="W74" s="142"/>
    </row>
    <row r="75" spans="14:23" ht="15">
      <c r="N75" s="174" t="s">
        <v>85</v>
      </c>
      <c r="O75" s="174"/>
      <c r="P75" s="174"/>
      <c r="Q75" s="174"/>
      <c r="R75" s="174"/>
      <c r="S75" s="71"/>
      <c r="T75" s="71"/>
      <c r="U75" s="71"/>
      <c r="V75" s="81">
        <v>0.11</v>
      </c>
      <c r="W75" s="71"/>
    </row>
    <row r="85" ht="15">
      <c r="D85" t="s">
        <v>150</v>
      </c>
    </row>
    <row r="87" spans="4:17" ht="15">
      <c r="D87" t="s">
        <v>106</v>
      </c>
      <c r="E87" t="s">
        <v>107</v>
      </c>
      <c r="F87" t="s">
        <v>109</v>
      </c>
      <c r="G87" t="s">
        <v>110</v>
      </c>
      <c r="H87" t="s">
        <v>111</v>
      </c>
      <c r="I87" t="s">
        <v>147</v>
      </c>
      <c r="L87" t="s">
        <v>106</v>
      </c>
      <c r="M87" t="s">
        <v>107</v>
      </c>
      <c r="N87" t="s">
        <v>109</v>
      </c>
      <c r="O87" t="s">
        <v>110</v>
      </c>
      <c r="P87" t="s">
        <v>111</v>
      </c>
      <c r="Q87" t="s">
        <v>147</v>
      </c>
    </row>
    <row r="88" spans="2:25" ht="15.75">
      <c r="B88" s="68" t="s">
        <v>89</v>
      </c>
      <c r="C88" s="68" t="s">
        <v>101</v>
      </c>
      <c r="D88">
        <v>1</v>
      </c>
      <c r="E88">
        <v>1</v>
      </c>
      <c r="F88">
        <v>3</v>
      </c>
      <c r="G88">
        <v>2</v>
      </c>
      <c r="H88">
        <v>1</v>
      </c>
      <c r="I88">
        <f>SUM(D88:H88)</f>
        <v>8</v>
      </c>
      <c r="K88" s="21" t="s">
        <v>91</v>
      </c>
      <c r="L88" s="88">
        <f aca="true" t="shared" si="4" ref="L88:Q88">SUM(D94:D110)/S89</f>
        <v>0.14895833333333333</v>
      </c>
      <c r="M88" s="88">
        <f t="shared" si="4"/>
        <v>0.29375</v>
      </c>
      <c r="N88" s="88">
        <f t="shared" si="4"/>
        <v>0.12916666666666668</v>
      </c>
      <c r="O88" s="88">
        <f t="shared" si="4"/>
        <v>0.09166666666666666</v>
      </c>
      <c r="P88" s="88">
        <f t="shared" si="4"/>
        <v>0.11354166666666667</v>
      </c>
      <c r="Q88" s="88">
        <f t="shared" si="4"/>
        <v>0.7770833333333333</v>
      </c>
      <c r="S88" s="24">
        <v>960</v>
      </c>
      <c r="T88" s="24">
        <v>960</v>
      </c>
      <c r="U88" s="24">
        <v>960</v>
      </c>
      <c r="V88" s="24">
        <v>960</v>
      </c>
      <c r="W88" s="24">
        <v>960</v>
      </c>
      <c r="X88" s="24">
        <v>960</v>
      </c>
      <c r="Y88" s="24">
        <v>960</v>
      </c>
    </row>
    <row r="89" spans="2:25" ht="15.75">
      <c r="B89" s="68" t="s">
        <v>89</v>
      </c>
      <c r="C89" s="68" t="s">
        <v>112</v>
      </c>
      <c r="D89">
        <v>1</v>
      </c>
      <c r="E89">
        <v>0</v>
      </c>
      <c r="F89">
        <v>0</v>
      </c>
      <c r="G89">
        <v>0</v>
      </c>
      <c r="H89">
        <v>0</v>
      </c>
      <c r="I89">
        <f aca="true" t="shared" si="5" ref="I89:I119">SUM(D89:H89)</f>
        <v>1</v>
      </c>
      <c r="K89" s="8" t="s">
        <v>93</v>
      </c>
      <c r="L89" s="88">
        <f aca="true" t="shared" si="6" ref="L89:Q89">SUM(D117:D118)/S94</f>
        <v>0.05</v>
      </c>
      <c r="M89" s="88">
        <f t="shared" si="6"/>
        <v>0.029166666666666667</v>
      </c>
      <c r="N89" s="88">
        <f t="shared" si="6"/>
        <v>0.021875</v>
      </c>
      <c r="O89" s="88">
        <f t="shared" si="6"/>
        <v>0.010416666666666666</v>
      </c>
      <c r="P89" s="88">
        <f t="shared" si="6"/>
        <v>0.013541666666666667</v>
      </c>
      <c r="Q89" s="88">
        <f t="shared" si="6"/>
        <v>0.125</v>
      </c>
      <c r="S89" s="24">
        <v>960</v>
      </c>
      <c r="T89" s="24">
        <v>960</v>
      </c>
      <c r="U89" s="24">
        <v>960</v>
      </c>
      <c r="V89" s="24">
        <v>960</v>
      </c>
      <c r="W89" s="24">
        <v>960</v>
      </c>
      <c r="X89" s="24">
        <v>960</v>
      </c>
      <c r="Y89" s="24">
        <v>960</v>
      </c>
    </row>
    <row r="90" spans="2:25" ht="15.75">
      <c r="B90" s="68" t="s">
        <v>89</v>
      </c>
      <c r="C90" s="69" t="s">
        <v>64</v>
      </c>
      <c r="D90">
        <v>6</v>
      </c>
      <c r="E90">
        <v>3</v>
      </c>
      <c r="F90">
        <v>7</v>
      </c>
      <c r="G90">
        <v>0</v>
      </c>
      <c r="H90">
        <v>0</v>
      </c>
      <c r="I90">
        <f t="shared" si="5"/>
        <v>16</v>
      </c>
      <c r="K90" s="21" t="s">
        <v>89</v>
      </c>
      <c r="L90" s="88">
        <f>SUM(D88:D93)/S88</f>
        <v>0.0125</v>
      </c>
      <c r="M90" s="88">
        <f>SUM(E88:E93)/S88</f>
        <v>0.007291666666666667</v>
      </c>
      <c r="N90" s="88">
        <f>SUM(F88:F93)/S88</f>
        <v>0.04791666666666667</v>
      </c>
      <c r="O90" s="88">
        <f>SUM(G88:G93)/S88</f>
        <v>0.0020833333333333333</v>
      </c>
      <c r="P90" s="88">
        <f>SUM(H88:H93)/S88</f>
        <v>0.0010416666666666667</v>
      </c>
      <c r="Q90" s="88">
        <f>SUM(I88:I93)/S88</f>
        <v>0.07083333333333333</v>
      </c>
      <c r="S90" s="24">
        <v>960</v>
      </c>
      <c r="T90" s="24">
        <v>960</v>
      </c>
      <c r="U90" s="24">
        <v>960</v>
      </c>
      <c r="V90" s="24">
        <v>960</v>
      </c>
      <c r="W90" s="24">
        <v>960</v>
      </c>
      <c r="X90" s="24">
        <v>960</v>
      </c>
      <c r="Y90" s="24">
        <v>960</v>
      </c>
    </row>
    <row r="91" spans="2:25" ht="15.75">
      <c r="B91" s="69" t="s">
        <v>89</v>
      </c>
      <c r="C91" s="69" t="s">
        <v>102</v>
      </c>
      <c r="D91">
        <v>0</v>
      </c>
      <c r="E91">
        <v>3</v>
      </c>
      <c r="F91">
        <v>10</v>
      </c>
      <c r="G91">
        <v>0</v>
      </c>
      <c r="H91">
        <v>0</v>
      </c>
      <c r="I91">
        <f t="shared" si="5"/>
        <v>13</v>
      </c>
      <c r="K91" s="8" t="s">
        <v>94</v>
      </c>
      <c r="L91" s="88">
        <f aca="true" t="shared" si="7" ref="L91:Q91">SUM(D113)/S92</f>
        <v>0</v>
      </c>
      <c r="M91" s="88">
        <f t="shared" si="7"/>
        <v>0.003125</v>
      </c>
      <c r="N91" s="88">
        <f t="shared" si="7"/>
        <v>0.004166666666666667</v>
      </c>
      <c r="O91" s="88">
        <f t="shared" si="7"/>
        <v>0</v>
      </c>
      <c r="P91" s="88">
        <f t="shared" si="7"/>
        <v>0</v>
      </c>
      <c r="Q91" s="88">
        <f t="shared" si="7"/>
        <v>0.007291666666666667</v>
      </c>
      <c r="S91" s="24">
        <v>960</v>
      </c>
      <c r="T91" s="24">
        <v>960</v>
      </c>
      <c r="U91" s="24">
        <v>960</v>
      </c>
      <c r="V91" s="24">
        <v>960</v>
      </c>
      <c r="W91" s="24">
        <v>960</v>
      </c>
      <c r="X91" s="24">
        <v>960</v>
      </c>
      <c r="Y91" s="24">
        <v>960</v>
      </c>
    </row>
    <row r="92" spans="2:25" ht="15.75">
      <c r="B92" s="69" t="s">
        <v>89</v>
      </c>
      <c r="C92" s="68" t="s">
        <v>113</v>
      </c>
      <c r="D92">
        <v>4</v>
      </c>
      <c r="E92">
        <v>0</v>
      </c>
      <c r="F92">
        <v>13</v>
      </c>
      <c r="G92">
        <v>0</v>
      </c>
      <c r="H92">
        <v>0</v>
      </c>
      <c r="I92">
        <f t="shared" si="5"/>
        <v>17</v>
      </c>
      <c r="K92" s="8" t="s">
        <v>95</v>
      </c>
      <c r="L92" s="88">
        <f aca="true" t="shared" si="8" ref="L92:Q92">SUM(D114:D115)/S93</f>
        <v>0.0020833333333333333</v>
      </c>
      <c r="M92" s="88">
        <f t="shared" si="8"/>
        <v>0.004166666666666667</v>
      </c>
      <c r="N92" s="88">
        <f t="shared" si="8"/>
        <v>0.005208333333333333</v>
      </c>
      <c r="O92" s="88">
        <f t="shared" si="8"/>
        <v>0.0020833333333333333</v>
      </c>
      <c r="P92" s="88">
        <f t="shared" si="8"/>
        <v>0</v>
      </c>
      <c r="Q92" s="88">
        <f t="shared" si="8"/>
        <v>0.013541666666666667</v>
      </c>
      <c r="S92" s="24">
        <v>960</v>
      </c>
      <c r="T92" s="24">
        <v>960</v>
      </c>
      <c r="U92" s="24">
        <v>960</v>
      </c>
      <c r="V92" s="24">
        <v>960</v>
      </c>
      <c r="W92" s="24">
        <v>960</v>
      </c>
      <c r="X92" s="24">
        <v>960</v>
      </c>
      <c r="Y92" s="24">
        <v>960</v>
      </c>
    </row>
    <row r="93" spans="2:25" ht="15.75">
      <c r="B93" s="69" t="s">
        <v>89</v>
      </c>
      <c r="C93" s="69" t="s">
        <v>114</v>
      </c>
      <c r="D93">
        <v>0</v>
      </c>
      <c r="E93">
        <v>0</v>
      </c>
      <c r="F93">
        <v>13</v>
      </c>
      <c r="G93">
        <v>0</v>
      </c>
      <c r="H93">
        <v>0</v>
      </c>
      <c r="I93">
        <f t="shared" si="5"/>
        <v>13</v>
      </c>
      <c r="K93" s="8" t="s">
        <v>96</v>
      </c>
      <c r="L93" s="88">
        <f aca="true" t="shared" si="9" ref="L93:Q94">SUM(D111)/S90</f>
        <v>0.0020833333333333333</v>
      </c>
      <c r="M93" s="88">
        <f t="shared" si="9"/>
        <v>0</v>
      </c>
      <c r="N93" s="88">
        <f t="shared" si="9"/>
        <v>0</v>
      </c>
      <c r="O93" s="88">
        <f t="shared" si="9"/>
        <v>0</v>
      </c>
      <c r="P93" s="88">
        <f t="shared" si="9"/>
        <v>0</v>
      </c>
      <c r="Q93" s="88">
        <f t="shared" si="9"/>
        <v>0.0020833333333333333</v>
      </c>
      <c r="S93" s="24">
        <v>960</v>
      </c>
      <c r="T93" s="24">
        <v>960</v>
      </c>
      <c r="U93" s="24">
        <v>960</v>
      </c>
      <c r="V93" s="24">
        <v>960</v>
      </c>
      <c r="W93" s="24">
        <v>960</v>
      </c>
      <c r="X93" s="24">
        <v>960</v>
      </c>
      <c r="Y93" s="24">
        <v>960</v>
      </c>
    </row>
    <row r="94" spans="2:25" ht="15.75">
      <c r="B94" s="69" t="s">
        <v>91</v>
      </c>
      <c r="C94" s="68" t="s">
        <v>103</v>
      </c>
      <c r="D94">
        <v>7</v>
      </c>
      <c r="E94">
        <v>1</v>
      </c>
      <c r="F94">
        <v>21</v>
      </c>
      <c r="G94">
        <v>4</v>
      </c>
      <c r="H94">
        <v>12</v>
      </c>
      <c r="I94">
        <f t="shared" si="5"/>
        <v>45</v>
      </c>
      <c r="K94" s="8" t="s">
        <v>92</v>
      </c>
      <c r="L94" s="88">
        <f t="shared" si="9"/>
        <v>0</v>
      </c>
      <c r="M94" s="88">
        <f t="shared" si="9"/>
        <v>0.0010416666666666667</v>
      </c>
      <c r="N94" s="88">
        <f t="shared" si="9"/>
        <v>0</v>
      </c>
      <c r="O94" s="88">
        <f t="shared" si="9"/>
        <v>0</v>
      </c>
      <c r="P94" s="88">
        <f t="shared" si="9"/>
        <v>0</v>
      </c>
      <c r="Q94" s="88">
        <f t="shared" si="9"/>
        <v>0.0010416666666666667</v>
      </c>
      <c r="S94" s="24">
        <v>960</v>
      </c>
      <c r="T94" s="24">
        <v>960</v>
      </c>
      <c r="U94" s="24">
        <v>960</v>
      </c>
      <c r="V94" s="24">
        <v>960</v>
      </c>
      <c r="W94" s="24">
        <v>960</v>
      </c>
      <c r="X94" s="24">
        <v>960</v>
      </c>
      <c r="Y94" s="24">
        <v>960</v>
      </c>
    </row>
    <row r="95" spans="2:25" ht="15.75">
      <c r="B95" s="69" t="s">
        <v>91</v>
      </c>
      <c r="C95" s="68" t="s">
        <v>104</v>
      </c>
      <c r="D95">
        <v>0</v>
      </c>
      <c r="E95">
        <v>5</v>
      </c>
      <c r="F95">
        <v>0</v>
      </c>
      <c r="G95">
        <v>0</v>
      </c>
      <c r="H95">
        <v>0</v>
      </c>
      <c r="I95">
        <f t="shared" si="5"/>
        <v>5</v>
      </c>
      <c r="K95" s="21" t="s">
        <v>145</v>
      </c>
      <c r="L95" s="136">
        <f aca="true" t="shared" si="10" ref="L95:Q95">SUM(L88:L94)</f>
        <v>0.215625</v>
      </c>
      <c r="M95" s="136">
        <f t="shared" si="10"/>
        <v>0.33854166666666663</v>
      </c>
      <c r="N95" s="136">
        <f t="shared" si="10"/>
        <v>0.20833333333333337</v>
      </c>
      <c r="O95" s="136">
        <f t="shared" si="10"/>
        <v>0.10625000000000001</v>
      </c>
      <c r="P95" s="136">
        <f t="shared" si="10"/>
        <v>0.128125</v>
      </c>
      <c r="Q95" s="136">
        <f t="shared" si="10"/>
        <v>0.9968750000000001</v>
      </c>
      <c r="S95" s="24">
        <v>960</v>
      </c>
      <c r="T95" s="24">
        <v>960</v>
      </c>
      <c r="U95" s="24">
        <v>960</v>
      </c>
      <c r="V95" s="24">
        <v>960</v>
      </c>
      <c r="W95" s="24">
        <v>960</v>
      </c>
      <c r="X95" s="24">
        <v>960</v>
      </c>
      <c r="Y95" s="24">
        <v>960</v>
      </c>
    </row>
    <row r="96" spans="2:9" ht="15">
      <c r="B96" s="68" t="s">
        <v>91</v>
      </c>
      <c r="C96" s="69" t="s">
        <v>37</v>
      </c>
      <c r="D96">
        <v>10</v>
      </c>
      <c r="E96">
        <v>36</v>
      </c>
      <c r="F96">
        <v>29</v>
      </c>
      <c r="G96">
        <v>16</v>
      </c>
      <c r="H96">
        <v>2</v>
      </c>
      <c r="I96">
        <f t="shared" si="5"/>
        <v>93</v>
      </c>
    </row>
    <row r="97" spans="2:9" ht="15">
      <c r="B97" s="68" t="s">
        <v>91</v>
      </c>
      <c r="C97" s="69" t="s">
        <v>34</v>
      </c>
      <c r="D97">
        <v>1</v>
      </c>
      <c r="E97">
        <v>2</v>
      </c>
      <c r="F97">
        <v>0</v>
      </c>
      <c r="G97">
        <v>0</v>
      </c>
      <c r="H97">
        <v>0</v>
      </c>
      <c r="I97">
        <f t="shared" si="5"/>
        <v>3</v>
      </c>
    </row>
    <row r="98" spans="2:9" ht="15">
      <c r="B98" s="68" t="s">
        <v>91</v>
      </c>
      <c r="C98" s="69" t="s">
        <v>18</v>
      </c>
      <c r="D98">
        <v>52</v>
      </c>
      <c r="E98">
        <v>97</v>
      </c>
      <c r="F98">
        <v>19</v>
      </c>
      <c r="G98">
        <v>13</v>
      </c>
      <c r="H98">
        <v>32</v>
      </c>
      <c r="I98">
        <f t="shared" si="5"/>
        <v>213</v>
      </c>
    </row>
    <row r="99" spans="2:9" ht="15">
      <c r="B99" s="69" t="s">
        <v>91</v>
      </c>
      <c r="C99" s="69" t="s">
        <v>30</v>
      </c>
      <c r="D99">
        <v>8</v>
      </c>
      <c r="E99">
        <v>59</v>
      </c>
      <c r="F99">
        <v>7</v>
      </c>
      <c r="G99">
        <v>15</v>
      </c>
      <c r="H99">
        <v>2</v>
      </c>
      <c r="I99">
        <f t="shared" si="5"/>
        <v>91</v>
      </c>
    </row>
    <row r="100" spans="2:9" ht="15">
      <c r="B100" s="68" t="s">
        <v>91</v>
      </c>
      <c r="C100" s="68" t="s">
        <v>68</v>
      </c>
      <c r="D100">
        <v>34</v>
      </c>
      <c r="E100">
        <v>13</v>
      </c>
      <c r="F100">
        <v>11</v>
      </c>
      <c r="G100">
        <v>17</v>
      </c>
      <c r="H100">
        <v>36</v>
      </c>
      <c r="I100">
        <f t="shared" si="5"/>
        <v>111</v>
      </c>
    </row>
    <row r="101" spans="2:9" ht="15">
      <c r="B101" s="68" t="s">
        <v>91</v>
      </c>
      <c r="C101" s="68" t="s">
        <v>115</v>
      </c>
      <c r="D101">
        <v>1</v>
      </c>
      <c r="E101">
        <v>2</v>
      </c>
      <c r="F101">
        <v>19</v>
      </c>
      <c r="G101">
        <v>4</v>
      </c>
      <c r="H101">
        <v>4</v>
      </c>
      <c r="I101">
        <f t="shared" si="5"/>
        <v>30</v>
      </c>
    </row>
    <row r="102" spans="2:9" ht="15">
      <c r="B102" s="68" t="s">
        <v>91</v>
      </c>
      <c r="C102" s="68" t="s">
        <v>116</v>
      </c>
      <c r="D102">
        <v>0</v>
      </c>
      <c r="E102">
        <v>5</v>
      </c>
      <c r="F102">
        <v>0</v>
      </c>
      <c r="G102">
        <v>0</v>
      </c>
      <c r="H102">
        <v>0</v>
      </c>
      <c r="I102">
        <f t="shared" si="5"/>
        <v>5</v>
      </c>
    </row>
    <row r="103" spans="2:9" ht="15">
      <c r="B103" s="68" t="s">
        <v>91</v>
      </c>
      <c r="C103" s="68" t="s">
        <v>117</v>
      </c>
      <c r="D103">
        <v>0</v>
      </c>
      <c r="E103">
        <v>1</v>
      </c>
      <c r="F103">
        <v>0</v>
      </c>
      <c r="G103">
        <v>4</v>
      </c>
      <c r="H103">
        <v>0</v>
      </c>
      <c r="I103">
        <f t="shared" si="5"/>
        <v>5</v>
      </c>
    </row>
    <row r="104" spans="2:9" ht="15">
      <c r="B104" s="68" t="s">
        <v>91</v>
      </c>
      <c r="C104" s="68" t="s">
        <v>118</v>
      </c>
      <c r="D104">
        <v>0</v>
      </c>
      <c r="E104">
        <v>2</v>
      </c>
      <c r="F104">
        <v>0</v>
      </c>
      <c r="G104">
        <v>1</v>
      </c>
      <c r="H104">
        <v>4</v>
      </c>
      <c r="I104">
        <f t="shared" si="5"/>
        <v>7</v>
      </c>
    </row>
    <row r="105" spans="2:9" ht="15">
      <c r="B105" s="68" t="s">
        <v>91</v>
      </c>
      <c r="C105" s="68" t="s">
        <v>119</v>
      </c>
      <c r="D105">
        <v>0</v>
      </c>
      <c r="E105">
        <v>4</v>
      </c>
      <c r="F105">
        <v>0</v>
      </c>
      <c r="G105">
        <v>0</v>
      </c>
      <c r="H105">
        <v>1</v>
      </c>
      <c r="I105">
        <f t="shared" si="5"/>
        <v>5</v>
      </c>
    </row>
    <row r="106" spans="2:9" ht="15">
      <c r="B106" s="68" t="s">
        <v>91</v>
      </c>
      <c r="C106" s="68" t="s">
        <v>120</v>
      </c>
      <c r="D106">
        <v>0</v>
      </c>
      <c r="E106">
        <v>1</v>
      </c>
      <c r="F106">
        <v>0</v>
      </c>
      <c r="G106">
        <v>4</v>
      </c>
      <c r="H106">
        <v>0</v>
      </c>
      <c r="I106">
        <f t="shared" si="5"/>
        <v>5</v>
      </c>
    </row>
    <row r="107" spans="2:9" ht="15">
      <c r="B107" s="68" t="s">
        <v>91</v>
      </c>
      <c r="C107" s="68" t="s">
        <v>121</v>
      </c>
      <c r="D107">
        <v>0</v>
      </c>
      <c r="E107">
        <v>13</v>
      </c>
      <c r="F107">
        <v>0</v>
      </c>
      <c r="G107">
        <v>0</v>
      </c>
      <c r="H107">
        <v>0</v>
      </c>
      <c r="I107">
        <f t="shared" si="5"/>
        <v>13</v>
      </c>
    </row>
    <row r="108" spans="2:9" ht="15">
      <c r="B108" s="68" t="s">
        <v>91</v>
      </c>
      <c r="C108" s="69" t="s">
        <v>55</v>
      </c>
      <c r="D108">
        <v>0</v>
      </c>
      <c r="E108">
        <v>3</v>
      </c>
      <c r="F108">
        <v>2</v>
      </c>
      <c r="G108">
        <v>0</v>
      </c>
      <c r="H108">
        <v>0</v>
      </c>
      <c r="I108">
        <f t="shared" si="5"/>
        <v>5</v>
      </c>
    </row>
    <row r="109" spans="2:9" ht="15">
      <c r="B109" s="68" t="s">
        <v>91</v>
      </c>
      <c r="C109" s="69" t="s">
        <v>13</v>
      </c>
      <c r="D109">
        <v>26</v>
      </c>
      <c r="E109">
        <v>34</v>
      </c>
      <c r="F109">
        <v>16</v>
      </c>
      <c r="G109">
        <v>10</v>
      </c>
      <c r="H109">
        <v>16</v>
      </c>
      <c r="I109">
        <f t="shared" si="5"/>
        <v>102</v>
      </c>
    </row>
    <row r="110" spans="2:9" ht="15">
      <c r="B110" s="68" t="s">
        <v>91</v>
      </c>
      <c r="C110" s="68" t="s">
        <v>122</v>
      </c>
      <c r="D110">
        <v>4</v>
      </c>
      <c r="E110">
        <v>4</v>
      </c>
      <c r="F110">
        <v>0</v>
      </c>
      <c r="G110">
        <v>0</v>
      </c>
      <c r="H110">
        <v>0</v>
      </c>
      <c r="I110">
        <f t="shared" si="5"/>
        <v>8</v>
      </c>
    </row>
    <row r="111" spans="2:9" ht="15">
      <c r="B111" s="68" t="s">
        <v>96</v>
      </c>
      <c r="C111" s="70" t="s">
        <v>97</v>
      </c>
      <c r="D111">
        <v>2</v>
      </c>
      <c r="E111">
        <v>0</v>
      </c>
      <c r="F111">
        <v>0</v>
      </c>
      <c r="G111">
        <v>0</v>
      </c>
      <c r="H111">
        <v>0</v>
      </c>
      <c r="I111">
        <f t="shared" si="5"/>
        <v>2</v>
      </c>
    </row>
    <row r="112" spans="2:9" ht="15">
      <c r="B112" s="69" t="s">
        <v>92</v>
      </c>
      <c r="C112" s="69" t="s">
        <v>123</v>
      </c>
      <c r="D112">
        <v>0</v>
      </c>
      <c r="E112">
        <v>1</v>
      </c>
      <c r="F112">
        <v>0</v>
      </c>
      <c r="G112">
        <v>0</v>
      </c>
      <c r="H112">
        <v>0</v>
      </c>
      <c r="I112">
        <f t="shared" si="5"/>
        <v>1</v>
      </c>
    </row>
    <row r="113" spans="2:9" ht="15">
      <c r="B113" s="69" t="s">
        <v>94</v>
      </c>
      <c r="C113" s="69" t="s">
        <v>58</v>
      </c>
      <c r="D113">
        <v>0</v>
      </c>
      <c r="E113">
        <v>3</v>
      </c>
      <c r="F113">
        <v>4</v>
      </c>
      <c r="G113">
        <v>0</v>
      </c>
      <c r="H113">
        <v>0</v>
      </c>
      <c r="I113">
        <f t="shared" si="5"/>
        <v>7</v>
      </c>
    </row>
    <row r="114" spans="2:9" ht="15">
      <c r="B114" s="69" t="s">
        <v>95</v>
      </c>
      <c r="C114" s="69" t="s">
        <v>69</v>
      </c>
      <c r="D114">
        <v>1</v>
      </c>
      <c r="E114">
        <v>4</v>
      </c>
      <c r="F114">
        <v>5</v>
      </c>
      <c r="G114">
        <v>0</v>
      </c>
      <c r="H114">
        <v>0</v>
      </c>
      <c r="I114">
        <f t="shared" si="5"/>
        <v>10</v>
      </c>
    </row>
    <row r="115" spans="2:9" ht="15">
      <c r="B115" s="69" t="s">
        <v>95</v>
      </c>
      <c r="C115" s="69" t="s">
        <v>124</v>
      </c>
      <c r="D115">
        <v>1</v>
      </c>
      <c r="E115">
        <v>0</v>
      </c>
      <c r="F115">
        <v>0</v>
      </c>
      <c r="G115">
        <v>2</v>
      </c>
      <c r="H115">
        <v>0</v>
      </c>
      <c r="I115">
        <f t="shared" si="5"/>
        <v>3</v>
      </c>
    </row>
    <row r="116" spans="2:9" ht="15">
      <c r="B116" s="69" t="s">
        <v>93</v>
      </c>
      <c r="C116" s="68" t="s">
        <v>125</v>
      </c>
      <c r="D116">
        <v>3</v>
      </c>
      <c r="E116">
        <v>0</v>
      </c>
      <c r="F116">
        <v>0</v>
      </c>
      <c r="G116">
        <v>0</v>
      </c>
      <c r="H116">
        <v>0</v>
      </c>
      <c r="I116">
        <f t="shared" si="5"/>
        <v>3</v>
      </c>
    </row>
    <row r="117" spans="2:13" ht="15">
      <c r="B117" s="69" t="s">
        <v>93</v>
      </c>
      <c r="C117" s="69" t="s">
        <v>60</v>
      </c>
      <c r="D117">
        <v>7</v>
      </c>
      <c r="E117">
        <v>0</v>
      </c>
      <c r="F117">
        <v>12</v>
      </c>
      <c r="G117">
        <v>9</v>
      </c>
      <c r="H117">
        <v>3</v>
      </c>
      <c r="I117">
        <f t="shared" si="5"/>
        <v>31</v>
      </c>
      <c r="M117" s="88"/>
    </row>
    <row r="118" spans="2:9" ht="15">
      <c r="B118" s="69" t="s">
        <v>93</v>
      </c>
      <c r="C118" s="69" t="s">
        <v>126</v>
      </c>
      <c r="D118">
        <v>41</v>
      </c>
      <c r="E118">
        <v>28</v>
      </c>
      <c r="F118">
        <v>9</v>
      </c>
      <c r="G118">
        <v>1</v>
      </c>
      <c r="H118">
        <v>10</v>
      </c>
      <c r="I118">
        <f t="shared" si="5"/>
        <v>89</v>
      </c>
    </row>
    <row r="119" spans="4:9" ht="15">
      <c r="D119">
        <f>SUM(D88:D118)</f>
        <v>210</v>
      </c>
      <c r="E119">
        <f>SUM(E88:E118)</f>
        <v>325</v>
      </c>
      <c r="F119">
        <f>SUM(F88:F118)</f>
        <v>200</v>
      </c>
      <c r="G119">
        <f>SUM(G88:G118)</f>
        <v>102</v>
      </c>
      <c r="H119">
        <f>SUM(H88:H118)</f>
        <v>123</v>
      </c>
      <c r="I119">
        <f t="shared" si="5"/>
        <v>960</v>
      </c>
    </row>
    <row r="120" spans="5:34" ht="15">
      <c r="E120" t="s">
        <v>106</v>
      </c>
      <c r="F120" t="s">
        <v>107</v>
      </c>
      <c r="G120" t="s">
        <v>109</v>
      </c>
      <c r="H120" t="s">
        <v>110</v>
      </c>
      <c r="I120" t="s">
        <v>111</v>
      </c>
      <c r="J120" t="s">
        <v>147</v>
      </c>
      <c r="M120" t="s">
        <v>106</v>
      </c>
      <c r="N120" t="s">
        <v>107</v>
      </c>
      <c r="O120" t="s">
        <v>109</v>
      </c>
      <c r="P120" t="s">
        <v>110</v>
      </c>
      <c r="Q120" t="s">
        <v>111</v>
      </c>
      <c r="R120" t="s">
        <v>147</v>
      </c>
      <c r="U120" s="24" t="s">
        <v>106</v>
      </c>
      <c r="V120" s="24" t="s">
        <v>107</v>
      </c>
      <c r="W120" s="24" t="s">
        <v>109</v>
      </c>
      <c r="X120" t="s">
        <v>110</v>
      </c>
      <c r="Y120" t="s">
        <v>111</v>
      </c>
      <c r="Z120" t="s">
        <v>147</v>
      </c>
      <c r="AB120" s="24"/>
      <c r="AC120" s="24" t="s">
        <v>106</v>
      </c>
      <c r="AD120" s="24" t="s">
        <v>107</v>
      </c>
      <c r="AE120" s="24" t="s">
        <v>109</v>
      </c>
      <c r="AF120" t="s">
        <v>110</v>
      </c>
      <c r="AG120" t="s">
        <v>111</v>
      </c>
      <c r="AH120" t="s">
        <v>147</v>
      </c>
    </row>
    <row r="121" spans="1:34" ht="15.75">
      <c r="A121">
        <v>1</v>
      </c>
      <c r="B121" s="68" t="s">
        <v>89</v>
      </c>
      <c r="C121" s="68" t="s">
        <v>21</v>
      </c>
      <c r="D121" s="68" t="s">
        <v>177</v>
      </c>
      <c r="E121">
        <v>1</v>
      </c>
      <c r="F121">
        <v>0</v>
      </c>
      <c r="G121">
        <v>3</v>
      </c>
      <c r="H121">
        <v>2</v>
      </c>
      <c r="I121">
        <v>1</v>
      </c>
      <c r="J121" s="75">
        <v>7</v>
      </c>
      <c r="L121" s="21" t="s">
        <v>91</v>
      </c>
      <c r="M121">
        <v>9</v>
      </c>
      <c r="N121">
        <v>16</v>
      </c>
      <c r="O121">
        <v>8</v>
      </c>
      <c r="P121">
        <v>10</v>
      </c>
      <c r="Q121">
        <v>9</v>
      </c>
      <c r="R121">
        <v>17</v>
      </c>
      <c r="T121" s="24" t="s">
        <v>91</v>
      </c>
      <c r="U121" s="24">
        <v>143</v>
      </c>
      <c r="V121" s="24">
        <v>285</v>
      </c>
      <c r="W121" s="24">
        <v>134</v>
      </c>
      <c r="X121">
        <v>88</v>
      </c>
      <c r="Y121">
        <v>109</v>
      </c>
      <c r="Z121">
        <v>759</v>
      </c>
      <c r="AB121" s="24" t="s">
        <v>91</v>
      </c>
      <c r="AC121" s="149">
        <f>U121/L131</f>
        <v>0.14895833333333333</v>
      </c>
      <c r="AD121" s="149">
        <f aca="true" t="shared" si="11" ref="AD121:AH129">V121/M131</f>
        <v>0.296875</v>
      </c>
      <c r="AE121" s="149">
        <f t="shared" si="11"/>
        <v>0.13958333333333334</v>
      </c>
      <c r="AF121" s="149">
        <f t="shared" si="11"/>
        <v>0.09166666666666666</v>
      </c>
      <c r="AG121" s="149">
        <f t="shared" si="11"/>
        <v>0.11354166666666667</v>
      </c>
      <c r="AH121" s="149">
        <f t="shared" si="11"/>
        <v>0.790625</v>
      </c>
    </row>
    <row r="122" spans="1:34" ht="15.75">
      <c r="A122">
        <v>2</v>
      </c>
      <c r="B122" s="68" t="s">
        <v>89</v>
      </c>
      <c r="C122" s="68" t="s">
        <v>21</v>
      </c>
      <c r="D122" s="68" t="s">
        <v>162</v>
      </c>
      <c r="E122">
        <v>1</v>
      </c>
      <c r="F122">
        <v>1</v>
      </c>
      <c r="G122">
        <v>0</v>
      </c>
      <c r="H122">
        <v>0</v>
      </c>
      <c r="I122">
        <v>0</v>
      </c>
      <c r="J122" s="75">
        <v>2</v>
      </c>
      <c r="L122" s="8" t="s">
        <v>93</v>
      </c>
      <c r="M122">
        <v>3</v>
      </c>
      <c r="N122">
        <v>1</v>
      </c>
      <c r="O122">
        <v>2</v>
      </c>
      <c r="P122">
        <v>2</v>
      </c>
      <c r="Q122">
        <v>2</v>
      </c>
      <c r="R122">
        <v>3</v>
      </c>
      <c r="T122" s="24" t="s">
        <v>93</v>
      </c>
      <c r="U122" s="24">
        <v>51</v>
      </c>
      <c r="V122" s="24">
        <v>28</v>
      </c>
      <c r="W122" s="24">
        <v>21</v>
      </c>
      <c r="X122">
        <v>10</v>
      </c>
      <c r="Y122">
        <v>13</v>
      </c>
      <c r="Z122">
        <v>123</v>
      </c>
      <c r="AB122" s="24" t="s">
        <v>93</v>
      </c>
      <c r="AC122" s="149">
        <f aca="true" t="shared" si="12" ref="AC122:AC129">U122/L132</f>
        <v>0.053125</v>
      </c>
      <c r="AD122" s="149">
        <f t="shared" si="11"/>
        <v>0.029166666666666667</v>
      </c>
      <c r="AE122" s="149">
        <f t="shared" si="11"/>
        <v>0.021875</v>
      </c>
      <c r="AF122" s="149">
        <f t="shared" si="11"/>
        <v>0.010416666666666666</v>
      </c>
      <c r="AG122" s="149">
        <f t="shared" si="11"/>
        <v>0.013541666666666667</v>
      </c>
      <c r="AH122" s="149">
        <f t="shared" si="11"/>
        <v>0.128125</v>
      </c>
    </row>
    <row r="123" spans="1:34" ht="15.75">
      <c r="A123">
        <v>3</v>
      </c>
      <c r="B123" s="69" t="s">
        <v>89</v>
      </c>
      <c r="C123" s="68" t="s">
        <v>26</v>
      </c>
      <c r="D123" s="68" t="s">
        <v>67</v>
      </c>
      <c r="E123">
        <v>4</v>
      </c>
      <c r="F123">
        <v>0</v>
      </c>
      <c r="G123">
        <v>13</v>
      </c>
      <c r="H123">
        <v>0</v>
      </c>
      <c r="I123">
        <v>0</v>
      </c>
      <c r="J123" s="75">
        <f>4+0+13+0+0</f>
        <v>17</v>
      </c>
      <c r="L123" s="21" t="s">
        <v>89</v>
      </c>
      <c r="M123">
        <v>4</v>
      </c>
      <c r="N123">
        <v>2</v>
      </c>
      <c r="O123">
        <v>3</v>
      </c>
      <c r="P123">
        <v>1</v>
      </c>
      <c r="Q123">
        <f>SUM(I121:I124)</f>
        <v>1</v>
      </c>
      <c r="R123">
        <v>4</v>
      </c>
      <c r="T123" s="24" t="s">
        <v>89</v>
      </c>
      <c r="U123" s="24">
        <v>12</v>
      </c>
      <c r="V123" s="24">
        <v>4</v>
      </c>
      <c r="W123" s="24">
        <v>23</v>
      </c>
      <c r="X123">
        <v>2</v>
      </c>
      <c r="Y123">
        <v>1</v>
      </c>
      <c r="Z123">
        <v>42</v>
      </c>
      <c r="AB123" s="24" t="s">
        <v>89</v>
      </c>
      <c r="AC123" s="149">
        <f t="shared" si="12"/>
        <v>0.0125</v>
      </c>
      <c r="AD123" s="149">
        <f t="shared" si="11"/>
        <v>0.004166666666666667</v>
      </c>
      <c r="AE123" s="149">
        <f t="shared" si="11"/>
        <v>0.023958333333333335</v>
      </c>
      <c r="AF123" s="149">
        <f t="shared" si="11"/>
        <v>0.0020833333333333333</v>
      </c>
      <c r="AG123" s="149">
        <f t="shared" si="11"/>
        <v>0.0010416666666666667</v>
      </c>
      <c r="AH123" s="149">
        <f t="shared" si="11"/>
        <v>0.04375</v>
      </c>
    </row>
    <row r="124" spans="1:34" ht="15.75">
      <c r="A124">
        <v>4</v>
      </c>
      <c r="B124" s="68" t="s">
        <v>89</v>
      </c>
      <c r="C124" s="68" t="s">
        <v>29</v>
      </c>
      <c r="D124" s="69" t="s">
        <v>67</v>
      </c>
      <c r="E124">
        <v>6</v>
      </c>
      <c r="F124">
        <v>3</v>
      </c>
      <c r="G124">
        <v>7</v>
      </c>
      <c r="H124">
        <v>0</v>
      </c>
      <c r="I124">
        <v>0</v>
      </c>
      <c r="J124" s="75">
        <f>6+3+7+0+0</f>
        <v>16</v>
      </c>
      <c r="L124" s="8" t="s">
        <v>94</v>
      </c>
      <c r="M124">
        <v>0</v>
      </c>
      <c r="N124">
        <v>1</v>
      </c>
      <c r="O124">
        <v>1</v>
      </c>
      <c r="P124">
        <f>SUM(H144)</f>
        <v>0</v>
      </c>
      <c r="Q124">
        <f>SUM(I144)</f>
        <v>0</v>
      </c>
      <c r="R124">
        <v>1</v>
      </c>
      <c r="T124" s="24" t="s">
        <v>94</v>
      </c>
      <c r="U124" s="24">
        <v>0</v>
      </c>
      <c r="V124" s="24">
        <v>3</v>
      </c>
      <c r="W124" s="24">
        <v>4</v>
      </c>
      <c r="X124">
        <v>0</v>
      </c>
      <c r="Y124">
        <v>0</v>
      </c>
      <c r="Z124">
        <v>7</v>
      </c>
      <c r="AB124" s="24" t="s">
        <v>94</v>
      </c>
      <c r="AC124" s="149">
        <f t="shared" si="12"/>
        <v>0</v>
      </c>
      <c r="AD124" s="149">
        <f t="shared" si="11"/>
        <v>0.003125</v>
      </c>
      <c r="AE124" s="149">
        <f t="shared" si="11"/>
        <v>0.004166666666666667</v>
      </c>
      <c r="AF124" s="149">
        <f t="shared" si="11"/>
        <v>0</v>
      </c>
      <c r="AG124" s="149">
        <f t="shared" si="11"/>
        <v>0</v>
      </c>
      <c r="AH124" s="149">
        <f t="shared" si="11"/>
        <v>0.007291666666666667</v>
      </c>
    </row>
    <row r="125" spans="1:34" ht="15.75">
      <c r="A125">
        <v>5</v>
      </c>
      <c r="B125" s="69" t="s">
        <v>91</v>
      </c>
      <c r="C125" s="69" t="s">
        <v>20</v>
      </c>
      <c r="D125" s="68" t="s">
        <v>165</v>
      </c>
      <c r="E125">
        <v>7</v>
      </c>
      <c r="F125">
        <v>4</v>
      </c>
      <c r="G125">
        <v>31</v>
      </c>
      <c r="H125">
        <v>4</v>
      </c>
      <c r="I125">
        <v>12</v>
      </c>
      <c r="J125" s="75">
        <f>7+1+21+4+12+13</f>
        <v>58</v>
      </c>
      <c r="L125" s="8" t="s">
        <v>95</v>
      </c>
      <c r="M125">
        <f>SUM(E145:E146)</f>
        <v>2</v>
      </c>
      <c r="N125">
        <v>1</v>
      </c>
      <c r="O125">
        <v>1</v>
      </c>
      <c r="P125">
        <v>1</v>
      </c>
      <c r="Q125">
        <f>SUM(I145:I146)</f>
        <v>0</v>
      </c>
      <c r="R125">
        <v>2</v>
      </c>
      <c r="T125" s="24" t="s">
        <v>95</v>
      </c>
      <c r="U125" s="24">
        <v>2</v>
      </c>
      <c r="V125" s="24">
        <v>4</v>
      </c>
      <c r="W125" s="24">
        <v>5</v>
      </c>
      <c r="X125">
        <v>2</v>
      </c>
      <c r="Y125">
        <v>0</v>
      </c>
      <c r="Z125">
        <v>13</v>
      </c>
      <c r="AB125" s="24" t="s">
        <v>95</v>
      </c>
      <c r="AC125" s="149">
        <f t="shared" si="12"/>
        <v>0.0020833333333333333</v>
      </c>
      <c r="AD125" s="149">
        <f t="shared" si="11"/>
        <v>0.004166666666666667</v>
      </c>
      <c r="AE125" s="149">
        <f t="shared" si="11"/>
        <v>0.005208333333333333</v>
      </c>
      <c r="AF125" s="149">
        <f t="shared" si="11"/>
        <v>0.0020833333333333333</v>
      </c>
      <c r="AG125" s="149">
        <f t="shared" si="11"/>
        <v>0</v>
      </c>
      <c r="AH125" s="149">
        <f t="shared" si="11"/>
        <v>0.013541666666666667</v>
      </c>
    </row>
    <row r="126" spans="1:34" ht="15.75">
      <c r="A126">
        <v>6</v>
      </c>
      <c r="B126" s="69" t="s">
        <v>91</v>
      </c>
      <c r="C126" s="69" t="s">
        <v>20</v>
      </c>
      <c r="D126" s="68" t="s">
        <v>166</v>
      </c>
      <c r="E126">
        <v>0</v>
      </c>
      <c r="F126">
        <v>5</v>
      </c>
      <c r="G126">
        <v>0</v>
      </c>
      <c r="H126">
        <v>0</v>
      </c>
      <c r="I126">
        <v>0</v>
      </c>
      <c r="J126" s="75">
        <f>0+5+0+0+0</f>
        <v>5</v>
      </c>
      <c r="L126" s="8" t="s">
        <v>96</v>
      </c>
      <c r="M126">
        <v>1</v>
      </c>
      <c r="N126">
        <f aca="true" t="shared" si="13" ref="N126:Q127">SUM(F142)</f>
        <v>0</v>
      </c>
      <c r="O126">
        <f t="shared" si="13"/>
        <v>0</v>
      </c>
      <c r="P126">
        <f t="shared" si="13"/>
        <v>0</v>
      </c>
      <c r="Q126">
        <f t="shared" si="13"/>
        <v>0</v>
      </c>
      <c r="R126">
        <v>1</v>
      </c>
      <c r="T126" s="24" t="s">
        <v>96</v>
      </c>
      <c r="U126" s="24">
        <v>2</v>
      </c>
      <c r="V126" s="24">
        <v>0</v>
      </c>
      <c r="W126" s="24">
        <v>0</v>
      </c>
      <c r="X126">
        <v>0</v>
      </c>
      <c r="Y126">
        <v>0</v>
      </c>
      <c r="Z126">
        <v>2</v>
      </c>
      <c r="AB126" s="24" t="s">
        <v>96</v>
      </c>
      <c r="AC126" s="149">
        <f t="shared" si="12"/>
        <v>0.0020833333333333333</v>
      </c>
      <c r="AD126" s="149">
        <f t="shared" si="11"/>
        <v>0</v>
      </c>
      <c r="AE126" s="149">
        <f t="shared" si="11"/>
        <v>0</v>
      </c>
      <c r="AF126" s="149">
        <f t="shared" si="11"/>
        <v>0</v>
      </c>
      <c r="AG126" s="149">
        <f t="shared" si="11"/>
        <v>0</v>
      </c>
      <c r="AH126" s="149">
        <f t="shared" si="11"/>
        <v>0.0020833333333333333</v>
      </c>
    </row>
    <row r="127" spans="1:34" ht="15.75">
      <c r="A127">
        <v>7</v>
      </c>
      <c r="B127" s="68" t="s">
        <v>91</v>
      </c>
      <c r="C127" s="69" t="s">
        <v>8</v>
      </c>
      <c r="D127" s="69" t="s">
        <v>167</v>
      </c>
      <c r="E127">
        <v>10</v>
      </c>
      <c r="F127">
        <v>36</v>
      </c>
      <c r="G127">
        <v>29</v>
      </c>
      <c r="H127">
        <v>16</v>
      </c>
      <c r="I127">
        <v>2</v>
      </c>
      <c r="J127" s="75">
        <f>10+36+29+16+2</f>
        <v>93</v>
      </c>
      <c r="L127" s="8" t="s">
        <v>92</v>
      </c>
      <c r="M127">
        <f>SUM(E143)</f>
        <v>0</v>
      </c>
      <c r="N127">
        <f t="shared" si="13"/>
        <v>1</v>
      </c>
      <c r="O127">
        <f t="shared" si="13"/>
        <v>0</v>
      </c>
      <c r="P127">
        <f t="shared" si="13"/>
        <v>0</v>
      </c>
      <c r="Q127">
        <f t="shared" si="13"/>
        <v>0</v>
      </c>
      <c r="R127">
        <v>1</v>
      </c>
      <c r="T127" s="24" t="s">
        <v>92</v>
      </c>
      <c r="U127" s="24">
        <v>0</v>
      </c>
      <c r="V127" s="24">
        <v>1</v>
      </c>
      <c r="W127" s="24">
        <v>0</v>
      </c>
      <c r="X127">
        <v>0</v>
      </c>
      <c r="Y127">
        <v>0</v>
      </c>
      <c r="Z127">
        <v>1</v>
      </c>
      <c r="AB127" s="24" t="s">
        <v>92</v>
      </c>
      <c r="AC127" s="149">
        <f t="shared" si="12"/>
        <v>0</v>
      </c>
      <c r="AD127" s="149">
        <f t="shared" si="11"/>
        <v>0.0010416666666666667</v>
      </c>
      <c r="AE127" s="149">
        <f t="shared" si="11"/>
        <v>0</v>
      </c>
      <c r="AF127" s="149">
        <f t="shared" si="11"/>
        <v>0</v>
      </c>
      <c r="AG127" s="149">
        <f t="shared" si="11"/>
        <v>0</v>
      </c>
      <c r="AH127" s="149">
        <f t="shared" si="11"/>
        <v>0.0010416666666666667</v>
      </c>
    </row>
    <row r="128" spans="1:34" ht="15">
      <c r="A128">
        <v>8</v>
      </c>
      <c r="B128" s="68" t="s">
        <v>91</v>
      </c>
      <c r="C128" s="69" t="s">
        <v>8</v>
      </c>
      <c r="D128" s="69" t="s">
        <v>168</v>
      </c>
      <c r="E128">
        <v>1</v>
      </c>
      <c r="F128">
        <v>2</v>
      </c>
      <c r="G128">
        <v>0</v>
      </c>
      <c r="H128">
        <v>0</v>
      </c>
      <c r="I128">
        <v>0</v>
      </c>
      <c r="J128" s="75">
        <f>1+2+0+0+0</f>
        <v>3</v>
      </c>
      <c r="L128" s="69" t="s">
        <v>164</v>
      </c>
      <c r="M128">
        <f>SUM(E150)</f>
        <v>0</v>
      </c>
      <c r="N128">
        <f>SUM(F150)</f>
        <v>0</v>
      </c>
      <c r="O128">
        <v>1</v>
      </c>
      <c r="P128">
        <f>SUM(H150)</f>
        <v>0</v>
      </c>
      <c r="Q128">
        <f>SUM(I150)</f>
        <v>0</v>
      </c>
      <c r="R128">
        <f>SUM(M128:Q128)</f>
        <v>1</v>
      </c>
      <c r="T128" s="24" t="s">
        <v>164</v>
      </c>
      <c r="U128" s="24">
        <v>0</v>
      </c>
      <c r="V128" s="24">
        <v>0</v>
      </c>
      <c r="W128" s="24">
        <v>13</v>
      </c>
      <c r="X128">
        <v>0</v>
      </c>
      <c r="Y128">
        <v>0</v>
      </c>
      <c r="Z128">
        <v>13</v>
      </c>
      <c r="AB128" s="24" t="s">
        <v>187</v>
      </c>
      <c r="AC128" s="149">
        <f t="shared" si="12"/>
        <v>0</v>
      </c>
      <c r="AD128" s="149">
        <f t="shared" si="11"/>
        <v>0</v>
      </c>
      <c r="AE128" s="149">
        <f t="shared" si="11"/>
        <v>0.013541666666666667</v>
      </c>
      <c r="AF128" s="149">
        <f t="shared" si="11"/>
        <v>0</v>
      </c>
      <c r="AG128" s="149">
        <f t="shared" si="11"/>
        <v>0</v>
      </c>
      <c r="AH128" s="149">
        <f t="shared" si="11"/>
        <v>0.013541666666666667</v>
      </c>
    </row>
    <row r="129" spans="1:34" ht="15.75">
      <c r="A129">
        <v>9</v>
      </c>
      <c r="B129" s="68" t="s">
        <v>91</v>
      </c>
      <c r="C129" s="69" t="s">
        <v>8</v>
      </c>
      <c r="D129" s="69" t="s">
        <v>169</v>
      </c>
      <c r="E129">
        <v>52</v>
      </c>
      <c r="F129">
        <v>97</v>
      </c>
      <c r="G129">
        <v>19</v>
      </c>
      <c r="H129">
        <v>13</v>
      </c>
      <c r="I129">
        <v>32</v>
      </c>
      <c r="J129" s="75">
        <f>52+97+19+13+32</f>
        <v>213</v>
      </c>
      <c r="L129" s="21" t="s">
        <v>145</v>
      </c>
      <c r="M129">
        <f aca="true" t="shared" si="14" ref="M129:R129">SUM(M121:M128)</f>
        <v>19</v>
      </c>
      <c r="N129">
        <f t="shared" si="14"/>
        <v>22</v>
      </c>
      <c r="O129">
        <f t="shared" si="14"/>
        <v>16</v>
      </c>
      <c r="P129">
        <f t="shared" si="14"/>
        <v>14</v>
      </c>
      <c r="Q129">
        <f t="shared" si="14"/>
        <v>12</v>
      </c>
      <c r="R129">
        <f t="shared" si="14"/>
        <v>30</v>
      </c>
      <c r="T129" s="24" t="s">
        <v>145</v>
      </c>
      <c r="U129" s="24">
        <v>210</v>
      </c>
      <c r="V129" s="24">
        <v>325</v>
      </c>
      <c r="W129" s="24">
        <v>200</v>
      </c>
      <c r="X129">
        <v>102</v>
      </c>
      <c r="Y129">
        <v>123</v>
      </c>
      <c r="Z129">
        <v>960</v>
      </c>
      <c r="AB129" s="24" t="s">
        <v>145</v>
      </c>
      <c r="AC129" s="149">
        <f t="shared" si="12"/>
        <v>0.21875</v>
      </c>
      <c r="AD129" s="149">
        <f t="shared" si="11"/>
        <v>0.3385416666666667</v>
      </c>
      <c r="AE129" s="149">
        <f t="shared" si="11"/>
        <v>0.20833333333333334</v>
      </c>
      <c r="AF129" s="149">
        <f t="shared" si="11"/>
        <v>0.10625</v>
      </c>
      <c r="AG129" s="149">
        <f t="shared" si="11"/>
        <v>0.128125</v>
      </c>
      <c r="AH129" s="149">
        <f t="shared" si="11"/>
        <v>1</v>
      </c>
    </row>
    <row r="130" spans="1:10" ht="15">
      <c r="A130">
        <v>10</v>
      </c>
      <c r="B130" s="69" t="s">
        <v>91</v>
      </c>
      <c r="C130" s="69" t="s">
        <v>8</v>
      </c>
      <c r="D130" s="69" t="s">
        <v>170</v>
      </c>
      <c r="E130">
        <v>8</v>
      </c>
      <c r="F130">
        <v>59</v>
      </c>
      <c r="G130">
        <v>7</v>
      </c>
      <c r="H130">
        <v>15</v>
      </c>
      <c r="I130">
        <v>2</v>
      </c>
      <c r="J130" s="75">
        <f>8+59+7+15+2</f>
        <v>91</v>
      </c>
    </row>
    <row r="131" spans="1:18" ht="15">
      <c r="A131">
        <v>11</v>
      </c>
      <c r="B131" s="68" t="s">
        <v>91</v>
      </c>
      <c r="C131" s="69" t="s">
        <v>8</v>
      </c>
      <c r="D131" s="68" t="s">
        <v>9</v>
      </c>
      <c r="E131">
        <v>34</v>
      </c>
      <c r="F131">
        <v>13</v>
      </c>
      <c r="G131">
        <v>11</v>
      </c>
      <c r="H131">
        <v>17</v>
      </c>
      <c r="I131">
        <v>36</v>
      </c>
      <c r="J131" s="75">
        <f>34+13+11+17+36</f>
        <v>111</v>
      </c>
      <c r="L131">
        <v>960</v>
      </c>
      <c r="M131">
        <v>960</v>
      </c>
      <c r="N131">
        <v>960</v>
      </c>
      <c r="O131">
        <v>960</v>
      </c>
      <c r="P131">
        <v>960</v>
      </c>
      <c r="Q131">
        <v>960</v>
      </c>
      <c r="R131">
        <v>960</v>
      </c>
    </row>
    <row r="132" spans="1:18" ht="15">
      <c r="A132">
        <v>12</v>
      </c>
      <c r="B132" s="68" t="s">
        <v>91</v>
      </c>
      <c r="C132" s="69" t="s">
        <v>8</v>
      </c>
      <c r="D132" s="68" t="s">
        <v>16</v>
      </c>
      <c r="E132">
        <v>1</v>
      </c>
      <c r="F132">
        <v>2</v>
      </c>
      <c r="G132">
        <v>19</v>
      </c>
      <c r="H132">
        <v>4</v>
      </c>
      <c r="I132">
        <v>4</v>
      </c>
      <c r="J132" s="75">
        <f>1+2+19+4+4</f>
        <v>30</v>
      </c>
      <c r="L132">
        <v>960</v>
      </c>
      <c r="M132">
        <v>960</v>
      </c>
      <c r="N132">
        <v>960</v>
      </c>
      <c r="O132">
        <v>960</v>
      </c>
      <c r="P132">
        <v>960</v>
      </c>
      <c r="Q132">
        <v>960</v>
      </c>
      <c r="R132">
        <v>960</v>
      </c>
    </row>
    <row r="133" spans="1:18" ht="15">
      <c r="A133">
        <v>13</v>
      </c>
      <c r="B133" s="68" t="s">
        <v>91</v>
      </c>
      <c r="C133" s="69" t="s">
        <v>8</v>
      </c>
      <c r="D133" s="68" t="s">
        <v>23</v>
      </c>
      <c r="E133">
        <v>0</v>
      </c>
      <c r="F133">
        <v>5</v>
      </c>
      <c r="G133">
        <v>0</v>
      </c>
      <c r="H133">
        <v>0</v>
      </c>
      <c r="I133">
        <v>0</v>
      </c>
      <c r="J133" s="75">
        <f>0+5+0+0+0</f>
        <v>5</v>
      </c>
      <c r="L133">
        <v>960</v>
      </c>
      <c r="M133">
        <v>960</v>
      </c>
      <c r="N133">
        <v>960</v>
      </c>
      <c r="O133">
        <v>960</v>
      </c>
      <c r="P133">
        <v>960</v>
      </c>
      <c r="Q133">
        <v>960</v>
      </c>
      <c r="R133">
        <v>960</v>
      </c>
    </row>
    <row r="134" spans="1:18" ht="15">
      <c r="A134">
        <v>14</v>
      </c>
      <c r="B134" s="68" t="s">
        <v>91</v>
      </c>
      <c r="C134" s="69" t="s">
        <v>8</v>
      </c>
      <c r="D134" s="68" t="s">
        <v>31</v>
      </c>
      <c r="E134">
        <v>0</v>
      </c>
      <c r="F134">
        <v>1</v>
      </c>
      <c r="G134">
        <v>0</v>
      </c>
      <c r="H134">
        <v>4</v>
      </c>
      <c r="I134">
        <v>0</v>
      </c>
      <c r="J134" s="75">
        <f>0+1+0+4+0</f>
        <v>5</v>
      </c>
      <c r="L134">
        <v>960</v>
      </c>
      <c r="M134">
        <v>960</v>
      </c>
      <c r="N134">
        <v>960</v>
      </c>
      <c r="O134">
        <v>960</v>
      </c>
      <c r="P134">
        <v>960</v>
      </c>
      <c r="Q134">
        <v>960</v>
      </c>
      <c r="R134">
        <v>960</v>
      </c>
    </row>
    <row r="135" spans="1:18" ht="15">
      <c r="A135">
        <v>15</v>
      </c>
      <c r="B135" s="68" t="s">
        <v>91</v>
      </c>
      <c r="C135" s="69" t="s">
        <v>14</v>
      </c>
      <c r="D135" s="68" t="s">
        <v>9</v>
      </c>
      <c r="E135">
        <v>0</v>
      </c>
      <c r="F135">
        <v>2</v>
      </c>
      <c r="G135">
        <v>0</v>
      </c>
      <c r="H135">
        <v>1</v>
      </c>
      <c r="I135">
        <v>4</v>
      </c>
      <c r="J135" s="75">
        <f>0+2+0+1+4</f>
        <v>7</v>
      </c>
      <c r="L135">
        <v>960</v>
      </c>
      <c r="M135">
        <v>960</v>
      </c>
      <c r="N135">
        <v>960</v>
      </c>
      <c r="O135">
        <v>960</v>
      </c>
      <c r="P135">
        <v>960</v>
      </c>
      <c r="Q135">
        <v>960</v>
      </c>
      <c r="R135">
        <v>960</v>
      </c>
    </row>
    <row r="136" spans="1:18" ht="15">
      <c r="A136">
        <v>16</v>
      </c>
      <c r="B136" s="68" t="s">
        <v>91</v>
      </c>
      <c r="C136" s="69" t="s">
        <v>14</v>
      </c>
      <c r="D136" s="68" t="s">
        <v>16</v>
      </c>
      <c r="E136">
        <v>0</v>
      </c>
      <c r="F136">
        <v>4</v>
      </c>
      <c r="G136">
        <v>0</v>
      </c>
      <c r="H136">
        <v>0</v>
      </c>
      <c r="I136">
        <v>1</v>
      </c>
      <c r="J136" s="75">
        <f>0+4+0+0+1</f>
        <v>5</v>
      </c>
      <c r="L136">
        <v>960</v>
      </c>
      <c r="M136">
        <v>960</v>
      </c>
      <c r="N136">
        <v>960</v>
      </c>
      <c r="O136">
        <v>960</v>
      </c>
      <c r="P136">
        <v>960</v>
      </c>
      <c r="Q136">
        <v>960</v>
      </c>
      <c r="R136">
        <v>960</v>
      </c>
    </row>
    <row r="137" spans="1:18" ht="15">
      <c r="A137">
        <v>17</v>
      </c>
      <c r="B137" s="68" t="s">
        <v>91</v>
      </c>
      <c r="C137" s="69" t="s">
        <v>14</v>
      </c>
      <c r="D137" s="68" t="s">
        <v>23</v>
      </c>
      <c r="E137">
        <v>0</v>
      </c>
      <c r="F137">
        <v>1</v>
      </c>
      <c r="G137">
        <v>0</v>
      </c>
      <c r="H137">
        <v>4</v>
      </c>
      <c r="I137">
        <v>0</v>
      </c>
      <c r="J137" s="75">
        <f>0+0+1+4+0</f>
        <v>5</v>
      </c>
      <c r="L137">
        <v>960</v>
      </c>
      <c r="M137">
        <v>960</v>
      </c>
      <c r="N137">
        <v>960</v>
      </c>
      <c r="O137">
        <v>960</v>
      </c>
      <c r="P137">
        <v>960</v>
      </c>
      <c r="Q137">
        <v>960</v>
      </c>
      <c r="R137">
        <v>960</v>
      </c>
    </row>
    <row r="138" spans="1:18" ht="15">
      <c r="A138">
        <v>18</v>
      </c>
      <c r="B138" s="68" t="s">
        <v>91</v>
      </c>
      <c r="C138" s="69" t="s">
        <v>14</v>
      </c>
      <c r="D138" s="68" t="s">
        <v>31</v>
      </c>
      <c r="E138">
        <v>0</v>
      </c>
      <c r="F138">
        <v>13</v>
      </c>
      <c r="G138">
        <v>0</v>
      </c>
      <c r="H138">
        <v>0</v>
      </c>
      <c r="I138">
        <v>0</v>
      </c>
      <c r="J138" s="75">
        <f>0+13+0+0+0</f>
        <v>13</v>
      </c>
      <c r="L138">
        <v>960</v>
      </c>
      <c r="M138">
        <v>960</v>
      </c>
      <c r="N138">
        <v>960</v>
      </c>
      <c r="O138">
        <v>960</v>
      </c>
      <c r="P138">
        <v>960</v>
      </c>
      <c r="Q138">
        <v>960</v>
      </c>
      <c r="R138">
        <v>960</v>
      </c>
    </row>
    <row r="139" spans="1:18" ht="15">
      <c r="A139">
        <v>19</v>
      </c>
      <c r="B139" s="68" t="s">
        <v>91</v>
      </c>
      <c r="C139" s="69" t="s">
        <v>12</v>
      </c>
      <c r="D139" s="69" t="s">
        <v>171</v>
      </c>
      <c r="E139">
        <v>0</v>
      </c>
      <c r="F139">
        <v>3</v>
      </c>
      <c r="G139">
        <v>2</v>
      </c>
      <c r="H139">
        <v>0</v>
      </c>
      <c r="I139">
        <v>0</v>
      </c>
      <c r="J139" s="75">
        <f>0+3+2+0+0</f>
        <v>5</v>
      </c>
      <c r="L139">
        <v>960</v>
      </c>
      <c r="M139">
        <v>960</v>
      </c>
      <c r="N139">
        <v>960</v>
      </c>
      <c r="O139">
        <v>960</v>
      </c>
      <c r="P139">
        <v>960</v>
      </c>
      <c r="Q139">
        <v>960</v>
      </c>
      <c r="R139">
        <v>960</v>
      </c>
    </row>
    <row r="140" spans="1:18" ht="15">
      <c r="A140">
        <v>20</v>
      </c>
      <c r="B140" s="68" t="s">
        <v>91</v>
      </c>
      <c r="C140" s="69" t="s">
        <v>12</v>
      </c>
      <c r="D140" s="69" t="s">
        <v>172</v>
      </c>
      <c r="E140">
        <v>26</v>
      </c>
      <c r="F140">
        <v>34</v>
      </c>
      <c r="G140">
        <v>16</v>
      </c>
      <c r="H140">
        <v>10</v>
      </c>
      <c r="I140">
        <v>16</v>
      </c>
      <c r="J140" s="75">
        <f>16+10+16+34+26</f>
        <v>102</v>
      </c>
      <c r="L140">
        <v>960</v>
      </c>
      <c r="M140">
        <v>960</v>
      </c>
      <c r="N140">
        <v>960</v>
      </c>
      <c r="O140">
        <v>960</v>
      </c>
      <c r="P140">
        <v>960</v>
      </c>
      <c r="Q140">
        <v>960</v>
      </c>
      <c r="R140">
        <v>960</v>
      </c>
    </row>
    <row r="141" spans="1:18" ht="15">
      <c r="A141">
        <v>21</v>
      </c>
      <c r="B141" s="68" t="s">
        <v>91</v>
      </c>
      <c r="C141" s="69" t="s">
        <v>36</v>
      </c>
      <c r="D141" s="68" t="s">
        <v>67</v>
      </c>
      <c r="E141">
        <v>4</v>
      </c>
      <c r="F141">
        <v>4</v>
      </c>
      <c r="G141">
        <v>0</v>
      </c>
      <c r="H141">
        <v>0</v>
      </c>
      <c r="I141">
        <v>0</v>
      </c>
      <c r="J141" s="75">
        <f>4+4+0+0+0</f>
        <v>8</v>
      </c>
      <c r="L141">
        <v>960</v>
      </c>
      <c r="M141">
        <v>960</v>
      </c>
      <c r="N141">
        <v>960</v>
      </c>
      <c r="O141">
        <v>960</v>
      </c>
      <c r="P141">
        <v>960</v>
      </c>
      <c r="Q141">
        <v>960</v>
      </c>
      <c r="R141">
        <v>960</v>
      </c>
    </row>
    <row r="142" spans="1:18" ht="15">
      <c r="A142">
        <v>22</v>
      </c>
      <c r="B142" s="68" t="s">
        <v>96</v>
      </c>
      <c r="C142" s="68" t="s">
        <v>35</v>
      </c>
      <c r="D142" s="70" t="s">
        <v>173</v>
      </c>
      <c r="E142">
        <v>2</v>
      </c>
      <c r="F142">
        <v>0</v>
      </c>
      <c r="G142">
        <v>0</v>
      </c>
      <c r="H142">
        <v>0</v>
      </c>
      <c r="I142">
        <v>0</v>
      </c>
      <c r="J142" s="75">
        <f>2+0+0+0+0</f>
        <v>2</v>
      </c>
      <c r="L142">
        <v>960</v>
      </c>
      <c r="M142">
        <v>960</v>
      </c>
      <c r="N142">
        <v>960</v>
      </c>
      <c r="O142">
        <v>960</v>
      </c>
      <c r="P142">
        <v>960</v>
      </c>
      <c r="Q142">
        <v>960</v>
      </c>
      <c r="R142">
        <v>960</v>
      </c>
    </row>
    <row r="143" spans="1:10" ht="15">
      <c r="A143">
        <v>23</v>
      </c>
      <c r="B143" s="69" t="s">
        <v>92</v>
      </c>
      <c r="C143" s="69" t="s">
        <v>59</v>
      </c>
      <c r="D143" s="69" t="s">
        <v>67</v>
      </c>
      <c r="E143">
        <v>0</v>
      </c>
      <c r="F143">
        <v>1</v>
      </c>
      <c r="G143">
        <v>0</v>
      </c>
      <c r="H143">
        <v>0</v>
      </c>
      <c r="I143">
        <v>0</v>
      </c>
      <c r="J143" s="75">
        <f>0+1+0+0+0</f>
        <v>1</v>
      </c>
    </row>
    <row r="144" spans="1:10" ht="15">
      <c r="A144">
        <v>24</v>
      </c>
      <c r="B144" s="69" t="s">
        <v>94</v>
      </c>
      <c r="C144" s="69" t="s">
        <v>57</v>
      </c>
      <c r="D144" s="69" t="s">
        <v>174</v>
      </c>
      <c r="E144">
        <v>0</v>
      </c>
      <c r="F144">
        <v>3</v>
      </c>
      <c r="G144">
        <v>4</v>
      </c>
      <c r="H144">
        <v>0</v>
      </c>
      <c r="I144">
        <v>0</v>
      </c>
      <c r="J144" s="75">
        <f>0+3+4+0+0</f>
        <v>7</v>
      </c>
    </row>
    <row r="145" spans="1:10" ht="15">
      <c r="A145">
        <v>25</v>
      </c>
      <c r="B145" s="69" t="s">
        <v>95</v>
      </c>
      <c r="C145" s="69" t="s">
        <v>25</v>
      </c>
      <c r="D145" s="69" t="s">
        <v>175</v>
      </c>
      <c r="E145">
        <v>1</v>
      </c>
      <c r="F145">
        <v>4</v>
      </c>
      <c r="G145">
        <v>5</v>
      </c>
      <c r="H145">
        <v>0</v>
      </c>
      <c r="I145">
        <v>0</v>
      </c>
      <c r="J145" s="75">
        <f>1+4+5+0+0</f>
        <v>10</v>
      </c>
    </row>
    <row r="146" spans="1:10" ht="15">
      <c r="A146">
        <v>26</v>
      </c>
      <c r="B146" s="69" t="s">
        <v>95</v>
      </c>
      <c r="C146" s="69" t="s">
        <v>25</v>
      </c>
      <c r="D146" s="69" t="s">
        <v>67</v>
      </c>
      <c r="E146">
        <v>1</v>
      </c>
      <c r="F146">
        <v>0</v>
      </c>
      <c r="G146">
        <v>0</v>
      </c>
      <c r="H146">
        <v>2</v>
      </c>
      <c r="I146">
        <v>0</v>
      </c>
      <c r="J146" s="75">
        <f>1+0+0+2+0</f>
        <v>3</v>
      </c>
    </row>
    <row r="147" spans="1:10" ht="15">
      <c r="A147">
        <v>27</v>
      </c>
      <c r="B147" s="69" t="s">
        <v>93</v>
      </c>
      <c r="C147" s="69" t="s">
        <v>78</v>
      </c>
      <c r="D147" s="68" t="s">
        <v>67</v>
      </c>
      <c r="E147">
        <v>3</v>
      </c>
      <c r="F147">
        <v>0</v>
      </c>
      <c r="G147">
        <v>0</v>
      </c>
      <c r="H147">
        <v>0</v>
      </c>
      <c r="I147">
        <v>0</v>
      </c>
      <c r="J147" s="75">
        <f>3+0+0+0+0</f>
        <v>3</v>
      </c>
    </row>
    <row r="148" spans="1:10" ht="15">
      <c r="A148">
        <v>28</v>
      </c>
      <c r="B148" s="69" t="s">
        <v>93</v>
      </c>
      <c r="C148" s="69" t="s">
        <v>11</v>
      </c>
      <c r="D148" s="69" t="s">
        <v>176</v>
      </c>
      <c r="E148">
        <v>7</v>
      </c>
      <c r="F148">
        <v>0</v>
      </c>
      <c r="G148">
        <v>12</v>
      </c>
      <c r="H148">
        <v>9</v>
      </c>
      <c r="I148">
        <v>3</v>
      </c>
      <c r="J148" s="75">
        <f>7+0+12+9+3</f>
        <v>31</v>
      </c>
    </row>
    <row r="149" spans="1:10" ht="15">
      <c r="A149">
        <v>29</v>
      </c>
      <c r="B149" s="69" t="s">
        <v>93</v>
      </c>
      <c r="C149" s="69" t="s">
        <v>11</v>
      </c>
      <c r="D149" s="69" t="s">
        <v>67</v>
      </c>
      <c r="E149">
        <v>41</v>
      </c>
      <c r="F149">
        <v>28</v>
      </c>
      <c r="G149">
        <v>9</v>
      </c>
      <c r="H149">
        <v>1</v>
      </c>
      <c r="I149">
        <v>10</v>
      </c>
      <c r="J149" s="75">
        <f>10+1+9+28+41</f>
        <v>89</v>
      </c>
    </row>
    <row r="150" spans="1:10" ht="15">
      <c r="A150">
        <v>30</v>
      </c>
      <c r="B150" s="69" t="s">
        <v>164</v>
      </c>
      <c r="C150" s="69" t="s">
        <v>163</v>
      </c>
      <c r="D150" s="69" t="s">
        <v>67</v>
      </c>
      <c r="E150">
        <v>0</v>
      </c>
      <c r="F150">
        <v>0</v>
      </c>
      <c r="G150">
        <v>13</v>
      </c>
      <c r="H150">
        <v>0</v>
      </c>
      <c r="I150">
        <v>0</v>
      </c>
      <c r="J150" s="75">
        <f>0+0+13+0+0</f>
        <v>13</v>
      </c>
    </row>
  </sheetData>
  <mergeCells count="9">
    <mergeCell ref="C36:G36"/>
    <mergeCell ref="C35:F35"/>
    <mergeCell ref="N73:R73"/>
    <mergeCell ref="N74:R74"/>
    <mergeCell ref="N75:R75"/>
    <mergeCell ref="C38:G38"/>
    <mergeCell ref="C37:G37"/>
    <mergeCell ref="O71:R71"/>
    <mergeCell ref="N72:R7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 topLeftCell="A1">
      <selection activeCell="G9" sqref="G9"/>
    </sheetView>
  </sheetViews>
  <sheetFormatPr defaultColWidth="9.140625" defaultRowHeight="15"/>
  <cols>
    <col min="1" max="1" width="3.8515625" style="0" customWidth="1"/>
    <col min="2" max="2" width="20.7109375" style="0" customWidth="1"/>
    <col min="4" max="4" width="15.7109375" style="0" customWidth="1"/>
    <col min="5" max="5" width="17.57421875" style="0" customWidth="1"/>
    <col min="6" max="6" width="15.00390625" style="0" customWidth="1"/>
  </cols>
  <sheetData>
    <row r="1" spans="1:5" ht="30">
      <c r="A1" s="155" t="s">
        <v>98</v>
      </c>
      <c r="B1" s="156" t="s">
        <v>179</v>
      </c>
      <c r="C1" s="157" t="s">
        <v>180</v>
      </c>
      <c r="D1" s="158" t="s">
        <v>181</v>
      </c>
      <c r="E1" s="158" t="s">
        <v>182</v>
      </c>
    </row>
    <row r="2" spans="1:6" ht="15">
      <c r="A2" s="153">
        <v>1</v>
      </c>
      <c r="B2" s="10" t="s">
        <v>188</v>
      </c>
      <c r="C2" s="54" t="s">
        <v>158</v>
      </c>
      <c r="D2" s="154">
        <v>9</v>
      </c>
      <c r="E2" s="89">
        <v>0.01</v>
      </c>
      <c r="F2" s="88">
        <f>D2/D7</f>
        <v>0.009375</v>
      </c>
    </row>
    <row r="3" spans="1:6" ht="15">
      <c r="A3" s="153">
        <v>2</v>
      </c>
      <c r="B3" s="10" t="s">
        <v>189</v>
      </c>
      <c r="C3" s="54" t="s">
        <v>28</v>
      </c>
      <c r="D3" s="154">
        <v>31</v>
      </c>
      <c r="E3" s="89">
        <v>0.05</v>
      </c>
      <c r="F3" s="88">
        <f>D3/D7</f>
        <v>0.03229166666666667</v>
      </c>
    </row>
    <row r="4" spans="1:6" ht="15">
      <c r="A4" s="153">
        <v>3</v>
      </c>
      <c r="B4" s="10" t="s">
        <v>190</v>
      </c>
      <c r="C4" s="54" t="s">
        <v>19</v>
      </c>
      <c r="D4" s="154">
        <v>32</v>
      </c>
      <c r="E4" s="89">
        <v>0.06</v>
      </c>
      <c r="F4" s="88">
        <f>D4/D7</f>
        <v>0.03333333333333333</v>
      </c>
    </row>
    <row r="5" spans="1:6" ht="15">
      <c r="A5" s="153">
        <v>4</v>
      </c>
      <c r="B5" s="10" t="s">
        <v>191</v>
      </c>
      <c r="C5" s="54" t="s">
        <v>7</v>
      </c>
      <c r="D5" s="154">
        <v>886</v>
      </c>
      <c r="E5" s="89">
        <v>0.87</v>
      </c>
      <c r="F5" s="88">
        <f>D5/D7</f>
        <v>0.9229166666666667</v>
      </c>
    </row>
    <row r="6" spans="1:6" ht="15">
      <c r="A6" s="153">
        <v>5</v>
      </c>
      <c r="B6" s="10" t="s">
        <v>35</v>
      </c>
      <c r="C6" s="54" t="s">
        <v>159</v>
      </c>
      <c r="D6" s="154">
        <v>2</v>
      </c>
      <c r="E6" s="89">
        <v>0</v>
      </c>
      <c r="F6" s="88">
        <f>D6/D7</f>
        <v>0.0020833333333333333</v>
      </c>
    </row>
    <row r="7" spans="1:5" ht="15">
      <c r="A7" s="159"/>
      <c r="B7" s="159" t="s">
        <v>145</v>
      </c>
      <c r="C7" s="159"/>
      <c r="D7" s="160">
        <f>SUM(D2:D6)</f>
        <v>960</v>
      </c>
      <c r="E7" s="164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F6" sqref="F6"/>
    </sheetView>
  </sheetViews>
  <sheetFormatPr defaultColWidth="9.140625" defaultRowHeight="15"/>
  <sheetData>
    <row r="1" spans="1:4" ht="39" thickBot="1">
      <c r="A1" s="127" t="s">
        <v>108</v>
      </c>
      <c r="B1" s="127" t="s">
        <v>151</v>
      </c>
      <c r="C1" s="128" t="s">
        <v>152</v>
      </c>
      <c r="D1" s="128" t="s">
        <v>153</v>
      </c>
    </row>
    <row r="2" spans="1:4" ht="15">
      <c r="A2" s="129">
        <v>1</v>
      </c>
      <c r="B2" s="129">
        <v>2.2</v>
      </c>
      <c r="C2" s="130">
        <v>0.9</v>
      </c>
      <c r="D2" s="130">
        <v>0.15</v>
      </c>
    </row>
    <row r="3" spans="1:4" ht="15">
      <c r="A3" s="129">
        <v>2</v>
      </c>
      <c r="B3" s="129">
        <v>2.3</v>
      </c>
      <c r="C3" s="130">
        <v>0.91</v>
      </c>
      <c r="D3" s="130">
        <v>0.16</v>
      </c>
    </row>
    <row r="4" spans="1:4" ht="15">
      <c r="A4" s="129">
        <v>3</v>
      </c>
      <c r="B4" s="129">
        <v>2.7</v>
      </c>
      <c r="C4" s="130">
        <v>1.07</v>
      </c>
      <c r="D4" s="130">
        <v>0.08</v>
      </c>
    </row>
    <row r="5" spans="1:4" ht="15">
      <c r="A5" s="129">
        <v>4</v>
      </c>
      <c r="B5" s="129">
        <v>2.3</v>
      </c>
      <c r="C5" s="130">
        <v>0.94</v>
      </c>
      <c r="D5" s="130">
        <v>0.11</v>
      </c>
    </row>
    <row r="6" spans="1:4" ht="15">
      <c r="A6" s="129">
        <v>5</v>
      </c>
      <c r="B6" s="129">
        <v>1.9</v>
      </c>
      <c r="C6" s="130">
        <v>0.78</v>
      </c>
      <c r="D6" s="130">
        <v>0.11</v>
      </c>
    </row>
    <row r="7" spans="1:4" ht="15.75" thickBot="1">
      <c r="A7" s="131" t="s">
        <v>147</v>
      </c>
      <c r="B7" s="131" t="s">
        <v>155</v>
      </c>
      <c r="C7" s="132" t="s">
        <v>156</v>
      </c>
      <c r="D7" s="132" t="s">
        <v>154</v>
      </c>
    </row>
    <row r="8" spans="1:4" ht="15">
      <c r="A8" t="s">
        <v>146</v>
      </c>
      <c r="B8">
        <f>AVERAGE(B2:B6)</f>
        <v>2.2800000000000002</v>
      </c>
      <c r="C8">
        <f>AVERAGE(C2:C6)</f>
        <v>0.9199999999999999</v>
      </c>
      <c r="D8" s="133">
        <f>AVERAGE(D2:D6)</f>
        <v>0.122</v>
      </c>
    </row>
    <row r="9" spans="1:4" ht="15">
      <c r="A9" t="s">
        <v>136</v>
      </c>
      <c r="B9" s="133">
        <f>STDEV(B2:B6)</f>
        <v>0.2863564212655268</v>
      </c>
      <c r="C9" s="133">
        <f>STDEV(C2:C6)</f>
        <v>0.10368220676663986</v>
      </c>
      <c r="D9" s="133">
        <f>STDEV(D2:D6)</f>
        <v>0.032710854467592275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8"/>
  <sheetViews>
    <sheetView zoomScale="60" zoomScaleNormal="60" workbookViewId="0" topLeftCell="O1">
      <pane ySplit="645" topLeftCell="A136" activePane="bottomLeft" state="split"/>
      <selection pane="topLeft" activeCell="AM1" sqref="AM1"/>
      <selection pane="bottomLeft" activeCell="O368" sqref="O368"/>
    </sheetView>
  </sheetViews>
  <sheetFormatPr defaultColWidth="9.140625" defaultRowHeight="15"/>
  <sheetData>
    <row r="1" spans="1:39" ht="38.25">
      <c r="A1" t="s">
        <v>108</v>
      </c>
      <c r="B1" s="123" t="s">
        <v>130</v>
      </c>
      <c r="C1" s="103" t="s">
        <v>101</v>
      </c>
      <c r="D1" s="103" t="s">
        <v>112</v>
      </c>
      <c r="E1" s="104" t="s">
        <v>64</v>
      </c>
      <c r="F1" s="104" t="s">
        <v>102</v>
      </c>
      <c r="G1" s="103" t="s">
        <v>113</v>
      </c>
      <c r="H1" s="104" t="s">
        <v>114</v>
      </c>
      <c r="I1" s="103" t="s">
        <v>103</v>
      </c>
      <c r="J1" s="103" t="s">
        <v>104</v>
      </c>
      <c r="K1" s="104" t="s">
        <v>37</v>
      </c>
      <c r="L1" s="104" t="s">
        <v>34</v>
      </c>
      <c r="M1" s="104" t="s">
        <v>18</v>
      </c>
      <c r="N1" s="104" t="s">
        <v>30</v>
      </c>
      <c r="O1" s="103" t="s">
        <v>68</v>
      </c>
      <c r="P1" s="103" t="s">
        <v>115</v>
      </c>
      <c r="Q1" s="103" t="s">
        <v>116</v>
      </c>
      <c r="R1" s="103" t="s">
        <v>117</v>
      </c>
      <c r="S1" s="103" t="s">
        <v>118</v>
      </c>
      <c r="T1" s="103" t="s">
        <v>119</v>
      </c>
      <c r="U1" s="103" t="s">
        <v>120</v>
      </c>
      <c r="V1" s="103" t="s">
        <v>121</v>
      </c>
      <c r="W1" s="104" t="s">
        <v>55</v>
      </c>
      <c r="X1" s="104" t="s">
        <v>13</v>
      </c>
      <c r="Y1" s="103" t="s">
        <v>122</v>
      </c>
      <c r="Z1" s="105" t="s">
        <v>97</v>
      </c>
      <c r="AA1" s="104" t="s">
        <v>123</v>
      </c>
      <c r="AB1" s="104" t="s">
        <v>58</v>
      </c>
      <c r="AC1" s="104" t="s">
        <v>69</v>
      </c>
      <c r="AD1" s="104" t="s">
        <v>124</v>
      </c>
      <c r="AE1" s="103" t="s">
        <v>125</v>
      </c>
      <c r="AF1" s="104" t="s">
        <v>60</v>
      </c>
      <c r="AG1" s="106" t="s">
        <v>126</v>
      </c>
      <c r="AH1" s="103" t="s">
        <v>131</v>
      </c>
      <c r="AI1" s="103" t="s">
        <v>133</v>
      </c>
      <c r="AJ1" s="103" t="s">
        <v>132</v>
      </c>
      <c r="AM1" s="103" t="s">
        <v>134</v>
      </c>
    </row>
    <row r="2" spans="1:40" ht="15">
      <c r="A2" s="177">
        <v>1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3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f>SUM(C2:AG2)</f>
        <v>3</v>
      </c>
      <c r="AI2">
        <f>COUNTIF(C2:AG2,0)</f>
        <v>30</v>
      </c>
      <c r="AJ2">
        <f>31-AI2</f>
        <v>1</v>
      </c>
      <c r="AL2" t="s">
        <v>108</v>
      </c>
      <c r="AM2" t="s">
        <v>135</v>
      </c>
      <c r="AN2" t="s">
        <v>136</v>
      </c>
    </row>
    <row r="3" spans="1:40" ht="15">
      <c r="A3" s="177"/>
      <c r="B3">
        <v>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11</v>
      </c>
      <c r="AH3">
        <f>SUM(C3:AG3)</f>
        <v>12</v>
      </c>
      <c r="AI3">
        <f aca="true" t="shared" si="0" ref="AI3:AI66">COUNTIF(C3:AG3,0)</f>
        <v>29</v>
      </c>
      <c r="AJ3">
        <f aca="true" t="shared" si="1" ref="AJ3:AJ66">31-AI3</f>
        <v>2</v>
      </c>
      <c r="AL3">
        <v>1</v>
      </c>
      <c r="AM3" s="126">
        <f>AVERAGE(AJ2:AJ81)</f>
        <v>0.775</v>
      </c>
      <c r="AN3" s="126">
        <f>STDEV(AJ2:AJ81)</f>
        <v>0.6930943275164233</v>
      </c>
    </row>
    <row r="4" spans="1:40" ht="15">
      <c r="A4" s="177"/>
      <c r="B4">
        <v>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8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f aca="true" t="shared" si="2" ref="AH4:AH66">SUM(C4:AG4)</f>
        <v>8</v>
      </c>
      <c r="AI4">
        <f t="shared" si="0"/>
        <v>30</v>
      </c>
      <c r="AJ4">
        <f t="shared" si="1"/>
        <v>1</v>
      </c>
      <c r="AL4">
        <v>2</v>
      </c>
      <c r="AM4" s="126">
        <f>AVERAGE(AJ83:AJ162)</f>
        <v>1.175</v>
      </c>
      <c r="AN4" s="126">
        <f>STDEV(AJ83:AJ162)</f>
        <v>1.3666460840273689</v>
      </c>
    </row>
    <row r="5" spans="1:40" ht="15">
      <c r="A5" s="177"/>
      <c r="B5">
        <v>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13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f t="shared" si="2"/>
        <v>13</v>
      </c>
      <c r="AI5">
        <f t="shared" si="0"/>
        <v>30</v>
      </c>
      <c r="AJ5">
        <f t="shared" si="1"/>
        <v>1</v>
      </c>
      <c r="AL5">
        <v>3</v>
      </c>
      <c r="AM5" s="126">
        <f>AVERAGE(AJ164:AJ243)</f>
        <v>1.0125</v>
      </c>
      <c r="AN5" s="126">
        <f>STDEV(AJ164:AJ243)</f>
        <v>0.9871804882875755</v>
      </c>
    </row>
    <row r="6" spans="1:40" ht="15">
      <c r="A6" s="177"/>
      <c r="B6">
        <v>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12</v>
      </c>
      <c r="AH6">
        <f t="shared" si="2"/>
        <v>12</v>
      </c>
      <c r="AI6">
        <f t="shared" si="0"/>
        <v>30</v>
      </c>
      <c r="AJ6">
        <f t="shared" si="1"/>
        <v>1</v>
      </c>
      <c r="AL6">
        <v>4</v>
      </c>
      <c r="AM6" s="126">
        <f>AVERAGE(AJ245:AJ304)</f>
        <v>0.6333333333333333</v>
      </c>
      <c r="AN6" s="126">
        <f>STDEV(AJ245:AJ304)</f>
        <v>0.822700527647874</v>
      </c>
    </row>
    <row r="7" spans="1:40" ht="15">
      <c r="A7" s="177"/>
      <c r="B7">
        <v>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f t="shared" si="2"/>
        <v>2</v>
      </c>
      <c r="AI7">
        <f t="shared" si="0"/>
        <v>29</v>
      </c>
      <c r="AJ7">
        <f t="shared" si="1"/>
        <v>2</v>
      </c>
      <c r="AL7">
        <v>5</v>
      </c>
      <c r="AM7" s="126">
        <f>AVERAGE(AJ306:AJ367)</f>
        <v>0.7741935483870968</v>
      </c>
      <c r="AN7" s="126">
        <f>STDEV(AJ306:AJ367)</f>
        <v>0.79793493384249</v>
      </c>
    </row>
    <row r="8" spans="1:40" ht="15">
      <c r="A8" s="177"/>
      <c r="B8">
        <v>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f t="shared" si="2"/>
        <v>5</v>
      </c>
      <c r="AI8">
        <f t="shared" si="0"/>
        <v>30</v>
      </c>
      <c r="AJ8">
        <f t="shared" si="1"/>
        <v>1</v>
      </c>
      <c r="AL8" t="s">
        <v>145</v>
      </c>
      <c r="AM8" s="126">
        <f>AVERAGE(AJ2:AJ81,AJ83:AJ162,AJ164:AJ243,AJ245:AJ304,AJ306:AJ367)</f>
        <v>0.8922651933701657</v>
      </c>
      <c r="AN8" s="126">
        <f>STDEV(AJ2:AJ81,AJ83:AJ162,AJ164:AJ243,AJ245:AJ304,AJ306:AJ367)</f>
        <v>0.9913732362065172</v>
      </c>
    </row>
    <row r="9" spans="1:36" ht="15">
      <c r="A9" s="177"/>
      <c r="B9">
        <v>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0</v>
      </c>
      <c r="AC9">
        <v>0</v>
      </c>
      <c r="AD9">
        <v>0</v>
      </c>
      <c r="AE9">
        <v>0</v>
      </c>
      <c r="AF9">
        <v>7</v>
      </c>
      <c r="AG9">
        <v>0</v>
      </c>
      <c r="AH9">
        <f t="shared" si="2"/>
        <v>8</v>
      </c>
      <c r="AI9">
        <f t="shared" si="0"/>
        <v>29</v>
      </c>
      <c r="AJ9">
        <f t="shared" si="1"/>
        <v>2</v>
      </c>
    </row>
    <row r="10" spans="1:36" ht="15">
      <c r="A10" s="177"/>
      <c r="B10">
        <v>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f t="shared" si="2"/>
        <v>4</v>
      </c>
      <c r="AI10">
        <f t="shared" si="0"/>
        <v>30</v>
      </c>
      <c r="AJ10">
        <f t="shared" si="1"/>
        <v>1</v>
      </c>
    </row>
    <row r="11" spans="1:36" ht="15">
      <c r="A11" s="177"/>
      <c r="B11">
        <v>10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f t="shared" si="2"/>
        <v>3</v>
      </c>
      <c r="AI11">
        <f t="shared" si="0"/>
        <v>30</v>
      </c>
      <c r="AJ11">
        <f t="shared" si="1"/>
        <v>1</v>
      </c>
    </row>
    <row r="12" spans="1:36" ht="15">
      <c r="A12" s="177"/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f t="shared" si="2"/>
        <v>0</v>
      </c>
      <c r="AI12">
        <f t="shared" si="0"/>
        <v>31</v>
      </c>
      <c r="AJ12">
        <f t="shared" si="1"/>
        <v>0</v>
      </c>
    </row>
    <row r="13" spans="1:36" ht="15">
      <c r="A13" s="177"/>
      <c r="B13">
        <v>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7</v>
      </c>
      <c r="AH13">
        <f t="shared" si="2"/>
        <v>7</v>
      </c>
      <c r="AI13">
        <f t="shared" si="0"/>
        <v>30</v>
      </c>
      <c r="AJ13">
        <f t="shared" si="1"/>
        <v>1</v>
      </c>
    </row>
    <row r="14" spans="1:36" ht="15">
      <c r="A14" s="177"/>
      <c r="B14">
        <v>13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3</v>
      </c>
      <c r="AH14">
        <f t="shared" si="2"/>
        <v>7</v>
      </c>
      <c r="AI14">
        <f t="shared" si="0"/>
        <v>29</v>
      </c>
      <c r="AJ14">
        <f t="shared" si="1"/>
        <v>2</v>
      </c>
    </row>
    <row r="15" spans="1:36" ht="15">
      <c r="A15" s="177"/>
      <c r="B15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f t="shared" si="2"/>
        <v>1</v>
      </c>
      <c r="AI15">
        <f t="shared" si="0"/>
        <v>30</v>
      </c>
      <c r="AJ15">
        <f t="shared" si="1"/>
        <v>1</v>
      </c>
    </row>
    <row r="16" spans="1:36" ht="15">
      <c r="A16" s="177"/>
      <c r="B16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f t="shared" si="2"/>
        <v>0</v>
      </c>
      <c r="AI16">
        <f t="shared" si="0"/>
        <v>31</v>
      </c>
      <c r="AJ16">
        <f t="shared" si="1"/>
        <v>0</v>
      </c>
    </row>
    <row r="17" spans="1:36" ht="15">
      <c r="A17" s="177"/>
      <c r="B17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f t="shared" si="2"/>
        <v>0</v>
      </c>
      <c r="AI17">
        <f t="shared" si="0"/>
        <v>31</v>
      </c>
      <c r="AJ17">
        <f t="shared" si="1"/>
        <v>0</v>
      </c>
    </row>
    <row r="18" spans="1:36" ht="15">
      <c r="A18" s="177"/>
      <c r="B18">
        <v>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f t="shared" si="2"/>
        <v>1</v>
      </c>
      <c r="AI18">
        <f t="shared" si="0"/>
        <v>30</v>
      </c>
      <c r="AJ18">
        <f t="shared" si="1"/>
        <v>1</v>
      </c>
    </row>
    <row r="19" spans="1:36" ht="15">
      <c r="A19" s="177"/>
      <c r="B19">
        <v>18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f t="shared" si="2"/>
        <v>0</v>
      </c>
      <c r="AI19">
        <f t="shared" si="0"/>
        <v>31</v>
      </c>
      <c r="AJ19">
        <f t="shared" si="1"/>
        <v>0</v>
      </c>
    </row>
    <row r="20" spans="1:36" ht="15">
      <c r="A20" s="177"/>
      <c r="B20">
        <v>19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f t="shared" si="2"/>
        <v>0</v>
      </c>
      <c r="AI20">
        <f t="shared" si="0"/>
        <v>31</v>
      </c>
      <c r="AJ20">
        <f t="shared" si="1"/>
        <v>0</v>
      </c>
    </row>
    <row r="21" spans="1:36" ht="15">
      <c r="A21" s="177"/>
      <c r="B21">
        <v>20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f t="shared" si="2"/>
        <v>0</v>
      </c>
      <c r="AI21">
        <f t="shared" si="0"/>
        <v>31</v>
      </c>
      <c r="AJ21">
        <f t="shared" si="1"/>
        <v>0</v>
      </c>
    </row>
    <row r="22" spans="1:36" ht="15">
      <c r="A22" s="177"/>
      <c r="B22">
        <v>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5</v>
      </c>
      <c r="AH22">
        <f t="shared" si="2"/>
        <v>5</v>
      </c>
      <c r="AI22">
        <f t="shared" si="0"/>
        <v>30</v>
      </c>
      <c r="AJ22">
        <f t="shared" si="1"/>
        <v>1</v>
      </c>
    </row>
    <row r="23" spans="1:36" ht="15">
      <c r="A23" s="177"/>
      <c r="B23">
        <v>22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f t="shared" si="2"/>
        <v>1</v>
      </c>
      <c r="AI23">
        <f t="shared" si="0"/>
        <v>30</v>
      </c>
      <c r="AJ23">
        <f t="shared" si="1"/>
        <v>1</v>
      </c>
    </row>
    <row r="24" spans="1:36" ht="15">
      <c r="A24" s="177"/>
      <c r="B24">
        <v>23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f t="shared" si="2"/>
        <v>0</v>
      </c>
      <c r="AI24">
        <f t="shared" si="0"/>
        <v>31</v>
      </c>
      <c r="AJ24">
        <f t="shared" si="1"/>
        <v>0</v>
      </c>
    </row>
    <row r="25" spans="1:36" ht="15">
      <c r="A25" s="177"/>
      <c r="B25">
        <v>24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f t="shared" si="2"/>
        <v>0</v>
      </c>
      <c r="AI25">
        <f t="shared" si="0"/>
        <v>31</v>
      </c>
      <c r="AJ25">
        <f t="shared" si="1"/>
        <v>0</v>
      </c>
    </row>
    <row r="26" spans="1:36" ht="15">
      <c r="A26" s="177"/>
      <c r="B26">
        <v>25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f t="shared" si="2"/>
        <v>0</v>
      </c>
      <c r="AI26">
        <f t="shared" si="0"/>
        <v>31</v>
      </c>
      <c r="AJ26">
        <f t="shared" si="1"/>
        <v>0</v>
      </c>
    </row>
    <row r="27" spans="1:36" ht="15">
      <c r="A27" s="177"/>
      <c r="B27">
        <v>26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f t="shared" si="2"/>
        <v>0</v>
      </c>
      <c r="AI27">
        <f t="shared" si="0"/>
        <v>31</v>
      </c>
      <c r="AJ27">
        <f t="shared" si="1"/>
        <v>0</v>
      </c>
    </row>
    <row r="28" spans="1:39" ht="15">
      <c r="A28" s="177"/>
      <c r="B28">
        <v>27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f t="shared" si="2"/>
        <v>0</v>
      </c>
      <c r="AI28">
        <f t="shared" si="0"/>
        <v>31</v>
      </c>
      <c r="AJ28">
        <f t="shared" si="1"/>
        <v>0</v>
      </c>
      <c r="AM28" t="s">
        <v>149</v>
      </c>
    </row>
    <row r="29" spans="1:36" ht="15">
      <c r="A29" s="177"/>
      <c r="B29">
        <v>28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f t="shared" si="2"/>
        <v>0</v>
      </c>
      <c r="AI29">
        <f t="shared" si="0"/>
        <v>31</v>
      </c>
      <c r="AJ29">
        <f t="shared" si="1"/>
        <v>0</v>
      </c>
    </row>
    <row r="30" spans="1:36" ht="15">
      <c r="A30" s="177"/>
      <c r="B30">
        <v>29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f t="shared" si="2"/>
        <v>0</v>
      </c>
      <c r="AI30">
        <f t="shared" si="0"/>
        <v>31</v>
      </c>
      <c r="AJ30">
        <f t="shared" si="1"/>
        <v>0</v>
      </c>
    </row>
    <row r="31" spans="1:36" ht="15">
      <c r="A31" s="177"/>
      <c r="B31">
        <v>30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3</v>
      </c>
      <c r="AH31">
        <f t="shared" si="2"/>
        <v>5</v>
      </c>
      <c r="AI31">
        <f t="shared" si="0"/>
        <v>28</v>
      </c>
      <c r="AJ31">
        <f t="shared" si="1"/>
        <v>3</v>
      </c>
    </row>
    <row r="32" spans="1:36" ht="15">
      <c r="A32" s="177"/>
      <c r="B32">
        <v>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f t="shared" si="2"/>
        <v>0</v>
      </c>
      <c r="AI32">
        <f t="shared" si="0"/>
        <v>31</v>
      </c>
      <c r="AJ32">
        <f t="shared" si="1"/>
        <v>0</v>
      </c>
    </row>
    <row r="33" spans="1:36" ht="15">
      <c r="A33" s="177"/>
      <c r="B33">
        <v>32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f t="shared" si="2"/>
        <v>2</v>
      </c>
      <c r="AI33">
        <f t="shared" si="0"/>
        <v>30</v>
      </c>
      <c r="AJ33">
        <f t="shared" si="1"/>
        <v>1</v>
      </c>
    </row>
    <row r="34" spans="1:36" ht="15">
      <c r="A34" s="177"/>
      <c r="B34">
        <v>33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f t="shared" si="2"/>
        <v>1</v>
      </c>
      <c r="AI34">
        <f t="shared" si="0"/>
        <v>30</v>
      </c>
      <c r="AJ34">
        <f t="shared" si="1"/>
        <v>1</v>
      </c>
    </row>
    <row r="35" spans="1:36" ht="15">
      <c r="A35" s="177"/>
      <c r="B35">
        <v>34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f t="shared" si="2"/>
        <v>0</v>
      </c>
      <c r="AI35">
        <f t="shared" si="0"/>
        <v>31</v>
      </c>
      <c r="AJ35">
        <f t="shared" si="1"/>
        <v>0</v>
      </c>
    </row>
    <row r="36" spans="1:36" ht="15">
      <c r="A36" s="177"/>
      <c r="B36">
        <v>35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4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f t="shared" si="2"/>
        <v>4</v>
      </c>
      <c r="AI36">
        <f t="shared" si="0"/>
        <v>30</v>
      </c>
      <c r="AJ36">
        <f t="shared" si="1"/>
        <v>1</v>
      </c>
    </row>
    <row r="37" spans="1:36" ht="15">
      <c r="A37" s="177"/>
      <c r="B37">
        <v>36</v>
      </c>
      <c r="C37">
        <v>0</v>
      </c>
      <c r="D37">
        <v>0</v>
      </c>
      <c r="E37">
        <v>0</v>
      </c>
      <c r="F37">
        <v>0</v>
      </c>
      <c r="G37">
        <v>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f t="shared" si="2"/>
        <v>3</v>
      </c>
      <c r="AI37">
        <f t="shared" si="0"/>
        <v>30</v>
      </c>
      <c r="AJ37">
        <f t="shared" si="1"/>
        <v>1</v>
      </c>
    </row>
    <row r="38" spans="1:36" ht="15">
      <c r="A38" s="177"/>
      <c r="B38">
        <v>37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4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f t="shared" si="2"/>
        <v>4</v>
      </c>
      <c r="AI38">
        <f t="shared" si="0"/>
        <v>30</v>
      </c>
      <c r="AJ38">
        <f t="shared" si="1"/>
        <v>1</v>
      </c>
    </row>
    <row r="39" spans="1:36" ht="15">
      <c r="A39" s="177"/>
      <c r="B39">
        <v>38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f t="shared" si="2"/>
        <v>4</v>
      </c>
      <c r="AI39">
        <f t="shared" si="0"/>
        <v>30</v>
      </c>
      <c r="AJ39">
        <f t="shared" si="1"/>
        <v>1</v>
      </c>
    </row>
    <row r="40" spans="1:36" ht="15">
      <c r="A40" s="177"/>
      <c r="B40">
        <v>39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8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f t="shared" si="2"/>
        <v>8</v>
      </c>
      <c r="AI40">
        <f t="shared" si="0"/>
        <v>30</v>
      </c>
      <c r="AJ40">
        <f t="shared" si="1"/>
        <v>1</v>
      </c>
    </row>
    <row r="41" spans="1:36" ht="15">
      <c r="A41" s="177"/>
      <c r="B41">
        <v>40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5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f t="shared" si="2"/>
        <v>5</v>
      </c>
      <c r="AI41">
        <f t="shared" si="0"/>
        <v>30</v>
      </c>
      <c r="AJ41">
        <f t="shared" si="1"/>
        <v>1</v>
      </c>
    </row>
    <row r="42" spans="1:36" ht="15">
      <c r="A42" s="177"/>
      <c r="B42">
        <v>41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f t="shared" si="2"/>
        <v>0</v>
      </c>
      <c r="AI42">
        <f t="shared" si="0"/>
        <v>31</v>
      </c>
      <c r="AJ42">
        <f t="shared" si="1"/>
        <v>0</v>
      </c>
    </row>
    <row r="43" spans="1:36" ht="15">
      <c r="A43" s="177"/>
      <c r="B43">
        <v>42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f t="shared" si="2"/>
        <v>0</v>
      </c>
      <c r="AI43">
        <f t="shared" si="0"/>
        <v>31</v>
      </c>
      <c r="AJ43">
        <f t="shared" si="1"/>
        <v>0</v>
      </c>
    </row>
    <row r="44" spans="1:36" ht="15">
      <c r="A44" s="177"/>
      <c r="B44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f t="shared" si="2"/>
        <v>4</v>
      </c>
      <c r="AI44">
        <f t="shared" si="0"/>
        <v>30</v>
      </c>
      <c r="AJ44">
        <f t="shared" si="1"/>
        <v>1</v>
      </c>
    </row>
    <row r="45" spans="1:36" ht="15">
      <c r="A45" s="177"/>
      <c r="B45">
        <v>44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5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f t="shared" si="2"/>
        <v>5</v>
      </c>
      <c r="AI45">
        <f t="shared" si="0"/>
        <v>30</v>
      </c>
      <c r="AJ45">
        <f t="shared" si="1"/>
        <v>1</v>
      </c>
    </row>
    <row r="46" spans="1:36" ht="15">
      <c r="A46" s="177"/>
      <c r="B46">
        <v>45</v>
      </c>
      <c r="C46">
        <v>0</v>
      </c>
      <c r="D46">
        <v>0</v>
      </c>
      <c r="E46">
        <v>1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f t="shared" si="2"/>
        <v>1</v>
      </c>
      <c r="AI46">
        <f t="shared" si="0"/>
        <v>30</v>
      </c>
      <c r="AJ46">
        <f t="shared" si="1"/>
        <v>1</v>
      </c>
    </row>
    <row r="47" spans="1:36" ht="15">
      <c r="A47" s="177"/>
      <c r="B47">
        <v>46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9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f t="shared" si="2"/>
        <v>10</v>
      </c>
      <c r="AI47">
        <f t="shared" si="0"/>
        <v>29</v>
      </c>
      <c r="AJ47">
        <f t="shared" si="1"/>
        <v>2</v>
      </c>
    </row>
    <row r="48" spans="1:36" ht="15">
      <c r="A48" s="177"/>
      <c r="B48">
        <v>47</v>
      </c>
      <c r="C48">
        <v>0</v>
      </c>
      <c r="D48">
        <v>0</v>
      </c>
      <c r="E48">
        <v>3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f t="shared" si="2"/>
        <v>3</v>
      </c>
      <c r="AI48">
        <f t="shared" si="0"/>
        <v>30</v>
      </c>
      <c r="AJ48">
        <f t="shared" si="1"/>
        <v>1</v>
      </c>
    </row>
    <row r="49" spans="1:36" ht="15">
      <c r="A49" s="177"/>
      <c r="B49">
        <v>48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 s="107">
        <v>5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f t="shared" si="2"/>
        <v>5</v>
      </c>
      <c r="AI49">
        <f t="shared" si="0"/>
        <v>30</v>
      </c>
      <c r="AJ49">
        <f t="shared" si="1"/>
        <v>1</v>
      </c>
    </row>
    <row r="50" spans="1:36" ht="15">
      <c r="A50" s="177"/>
      <c r="B50">
        <v>49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f t="shared" si="2"/>
        <v>2</v>
      </c>
      <c r="AI50">
        <f t="shared" si="0"/>
        <v>30</v>
      </c>
      <c r="AJ50">
        <f t="shared" si="1"/>
        <v>1</v>
      </c>
    </row>
    <row r="51" spans="1:36" ht="15">
      <c r="A51" s="177"/>
      <c r="B51">
        <v>50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f t="shared" si="2"/>
        <v>0</v>
      </c>
      <c r="AI51">
        <f t="shared" si="0"/>
        <v>31</v>
      </c>
      <c r="AJ51">
        <f t="shared" si="1"/>
        <v>0</v>
      </c>
    </row>
    <row r="52" spans="1:36" ht="15">
      <c r="A52" s="177"/>
      <c r="B52">
        <v>51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f t="shared" si="2"/>
        <v>0</v>
      </c>
      <c r="AI52">
        <f t="shared" si="0"/>
        <v>31</v>
      </c>
      <c r="AJ52">
        <f t="shared" si="1"/>
        <v>0</v>
      </c>
    </row>
    <row r="53" spans="1:36" ht="15">
      <c r="A53" s="177"/>
      <c r="B53">
        <v>52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f t="shared" si="2"/>
        <v>0</v>
      </c>
      <c r="AI53">
        <f t="shared" si="0"/>
        <v>31</v>
      </c>
      <c r="AJ53">
        <f t="shared" si="1"/>
        <v>0</v>
      </c>
    </row>
    <row r="54" spans="1:36" ht="15">
      <c r="A54" s="177"/>
      <c r="B54">
        <v>53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f t="shared" si="2"/>
        <v>4</v>
      </c>
      <c r="AI54">
        <f t="shared" si="0"/>
        <v>30</v>
      </c>
      <c r="AJ54">
        <f t="shared" si="1"/>
        <v>1</v>
      </c>
    </row>
    <row r="55" spans="1:36" ht="15">
      <c r="A55" s="177"/>
      <c r="B55">
        <v>54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1</v>
      </c>
      <c r="AD55">
        <v>0</v>
      </c>
      <c r="AE55">
        <v>0</v>
      </c>
      <c r="AF55">
        <v>0</v>
      </c>
      <c r="AG55">
        <v>0</v>
      </c>
      <c r="AH55">
        <f t="shared" si="2"/>
        <v>3</v>
      </c>
      <c r="AI55">
        <f t="shared" si="0"/>
        <v>29</v>
      </c>
      <c r="AJ55">
        <f t="shared" si="1"/>
        <v>2</v>
      </c>
    </row>
    <row r="56" spans="1:36" ht="15">
      <c r="A56" s="177"/>
      <c r="B56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2</v>
      </c>
      <c r="L56">
        <v>0</v>
      </c>
      <c r="M56">
        <v>6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f t="shared" si="2"/>
        <v>8</v>
      </c>
      <c r="AI56">
        <f t="shared" si="0"/>
        <v>29</v>
      </c>
      <c r="AJ56">
        <f t="shared" si="1"/>
        <v>2</v>
      </c>
    </row>
    <row r="57" spans="1:36" ht="15">
      <c r="A57" s="177"/>
      <c r="B57">
        <v>56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f t="shared" si="2"/>
        <v>2</v>
      </c>
      <c r="AI57">
        <f t="shared" si="0"/>
        <v>30</v>
      </c>
      <c r="AJ57">
        <f t="shared" si="1"/>
        <v>1</v>
      </c>
    </row>
    <row r="58" spans="1:36" ht="15">
      <c r="A58" s="177"/>
      <c r="B58">
        <v>57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f t="shared" si="2"/>
        <v>0</v>
      </c>
      <c r="AI58">
        <f t="shared" si="0"/>
        <v>31</v>
      </c>
      <c r="AJ58">
        <f t="shared" si="1"/>
        <v>0</v>
      </c>
    </row>
    <row r="59" spans="1:36" ht="15">
      <c r="A59" s="177"/>
      <c r="B59">
        <v>58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f t="shared" si="2"/>
        <v>0</v>
      </c>
      <c r="AI59">
        <f t="shared" si="0"/>
        <v>31</v>
      </c>
      <c r="AJ59">
        <f t="shared" si="1"/>
        <v>0</v>
      </c>
    </row>
    <row r="60" spans="1:36" ht="15">
      <c r="A60" s="177"/>
      <c r="B60">
        <v>59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2</v>
      </c>
      <c r="Z60">
        <v>1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f t="shared" si="2"/>
        <v>3</v>
      </c>
      <c r="AI60">
        <f t="shared" si="0"/>
        <v>29</v>
      </c>
      <c r="AJ60">
        <f t="shared" si="1"/>
        <v>2</v>
      </c>
    </row>
    <row r="61" spans="1:36" ht="15">
      <c r="A61" s="177"/>
      <c r="B61">
        <v>60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f t="shared" si="2"/>
        <v>0</v>
      </c>
      <c r="AI61">
        <f t="shared" si="0"/>
        <v>31</v>
      </c>
      <c r="AJ61">
        <f t="shared" si="1"/>
        <v>0</v>
      </c>
    </row>
    <row r="62" spans="1:36" ht="15">
      <c r="A62" s="177"/>
      <c r="B62">
        <v>61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4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f t="shared" si="2"/>
        <v>4</v>
      </c>
      <c r="AI62">
        <f t="shared" si="0"/>
        <v>30</v>
      </c>
      <c r="AJ62">
        <f t="shared" si="1"/>
        <v>1</v>
      </c>
    </row>
    <row r="63" spans="1:36" ht="15">
      <c r="A63" s="177"/>
      <c r="B63">
        <v>62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f t="shared" si="2"/>
        <v>0</v>
      </c>
      <c r="AI63">
        <f t="shared" si="0"/>
        <v>31</v>
      </c>
      <c r="AJ63">
        <f t="shared" si="1"/>
        <v>0</v>
      </c>
    </row>
    <row r="64" spans="1:36" ht="15">
      <c r="A64" s="177"/>
      <c r="B64">
        <v>63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2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f t="shared" si="2"/>
        <v>4</v>
      </c>
      <c r="AI64">
        <f t="shared" si="0"/>
        <v>29</v>
      </c>
      <c r="AJ64">
        <f t="shared" si="1"/>
        <v>2</v>
      </c>
    </row>
    <row r="65" spans="1:36" ht="15">
      <c r="A65" s="177"/>
      <c r="B65">
        <v>64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3</v>
      </c>
      <c r="AF65">
        <v>0</v>
      </c>
      <c r="AG65">
        <v>0</v>
      </c>
      <c r="AH65">
        <f t="shared" si="2"/>
        <v>3</v>
      </c>
      <c r="AI65">
        <f t="shared" si="0"/>
        <v>30</v>
      </c>
      <c r="AJ65">
        <f t="shared" si="1"/>
        <v>1</v>
      </c>
    </row>
    <row r="66" spans="1:36" ht="15">
      <c r="A66" s="177"/>
      <c r="B66">
        <v>65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2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f t="shared" si="2"/>
        <v>2</v>
      </c>
      <c r="AI66">
        <f t="shared" si="0"/>
        <v>30</v>
      </c>
      <c r="AJ66">
        <f t="shared" si="1"/>
        <v>1</v>
      </c>
    </row>
    <row r="67" spans="1:36" ht="15">
      <c r="A67" s="177"/>
      <c r="B67">
        <v>66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f aca="true" t="shared" si="3" ref="AH67:AH130">SUM(C67:AG67)</f>
        <v>1</v>
      </c>
      <c r="AI67">
        <f aca="true" t="shared" si="4" ref="AI67:AI130">COUNTIF(C67:AG67,0)</f>
        <v>30</v>
      </c>
      <c r="AJ67">
        <f aca="true" t="shared" si="5" ref="AJ67:AJ130">31-AI67</f>
        <v>1</v>
      </c>
    </row>
    <row r="68" spans="1:36" ht="15">
      <c r="A68" s="177"/>
      <c r="B68">
        <v>67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>
        <v>0</v>
      </c>
      <c r="AG68">
        <v>0</v>
      </c>
      <c r="AH68">
        <f t="shared" si="3"/>
        <v>1</v>
      </c>
      <c r="AI68">
        <f t="shared" si="4"/>
        <v>30</v>
      </c>
      <c r="AJ68">
        <f t="shared" si="5"/>
        <v>1</v>
      </c>
    </row>
    <row r="69" spans="1:36" ht="15">
      <c r="A69" s="177"/>
      <c r="B69">
        <v>68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3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f t="shared" si="3"/>
        <v>3</v>
      </c>
      <c r="AI69">
        <f t="shared" si="4"/>
        <v>30</v>
      </c>
      <c r="AJ69">
        <f t="shared" si="5"/>
        <v>1</v>
      </c>
    </row>
    <row r="70" spans="1:36" ht="15">
      <c r="A70" s="177"/>
      <c r="B70">
        <v>69</v>
      </c>
      <c r="C70">
        <v>0</v>
      </c>
      <c r="D70">
        <v>0</v>
      </c>
      <c r="E70">
        <v>2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f t="shared" si="3"/>
        <v>2</v>
      </c>
      <c r="AI70">
        <f t="shared" si="4"/>
        <v>30</v>
      </c>
      <c r="AJ70">
        <f t="shared" si="5"/>
        <v>1</v>
      </c>
    </row>
    <row r="71" spans="1:36" ht="15">
      <c r="A71" s="177"/>
      <c r="B71">
        <v>70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f t="shared" si="3"/>
        <v>1</v>
      </c>
      <c r="AI71">
        <f t="shared" si="4"/>
        <v>30</v>
      </c>
      <c r="AJ71">
        <f t="shared" si="5"/>
        <v>1</v>
      </c>
    </row>
    <row r="72" spans="1:36" ht="15">
      <c r="A72" s="177"/>
      <c r="B72">
        <v>71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3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f t="shared" si="3"/>
        <v>3</v>
      </c>
      <c r="AI72">
        <f t="shared" si="4"/>
        <v>30</v>
      </c>
      <c r="AJ72">
        <f t="shared" si="5"/>
        <v>1</v>
      </c>
    </row>
    <row r="73" spans="1:36" ht="15">
      <c r="A73" s="177"/>
      <c r="B73">
        <v>72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f t="shared" si="3"/>
        <v>2</v>
      </c>
      <c r="AI73">
        <f t="shared" si="4"/>
        <v>30</v>
      </c>
      <c r="AJ73">
        <f t="shared" si="5"/>
        <v>1</v>
      </c>
    </row>
    <row r="74" spans="1:36" ht="15">
      <c r="A74" s="177"/>
      <c r="B74">
        <v>73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f t="shared" si="3"/>
        <v>0</v>
      </c>
      <c r="AI74">
        <f t="shared" si="4"/>
        <v>31</v>
      </c>
      <c r="AJ74">
        <f t="shared" si="5"/>
        <v>0</v>
      </c>
    </row>
    <row r="75" spans="1:36" ht="15">
      <c r="A75" s="177"/>
      <c r="B75">
        <v>74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f t="shared" si="3"/>
        <v>0</v>
      </c>
      <c r="AI75">
        <f t="shared" si="4"/>
        <v>31</v>
      </c>
      <c r="AJ75">
        <f t="shared" si="5"/>
        <v>0</v>
      </c>
    </row>
    <row r="76" spans="1:36" ht="15">
      <c r="A76" s="177"/>
      <c r="B76">
        <v>75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f t="shared" si="3"/>
        <v>0</v>
      </c>
      <c r="AI76">
        <f t="shared" si="4"/>
        <v>31</v>
      </c>
      <c r="AJ76">
        <f t="shared" si="5"/>
        <v>0</v>
      </c>
    </row>
    <row r="77" spans="1:36" ht="15">
      <c r="A77" s="177"/>
      <c r="B77">
        <v>76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f t="shared" si="3"/>
        <v>0</v>
      </c>
      <c r="AI77">
        <f t="shared" si="4"/>
        <v>31</v>
      </c>
      <c r="AJ77">
        <f t="shared" si="5"/>
        <v>0</v>
      </c>
    </row>
    <row r="78" spans="1:36" ht="15">
      <c r="A78" s="177"/>
      <c r="B78">
        <v>77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f t="shared" si="3"/>
        <v>0</v>
      </c>
      <c r="AI78">
        <f t="shared" si="4"/>
        <v>31</v>
      </c>
      <c r="AJ78">
        <f t="shared" si="5"/>
        <v>0</v>
      </c>
    </row>
    <row r="79" spans="1:36" ht="15">
      <c r="A79" s="177"/>
      <c r="B79">
        <v>78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2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f t="shared" si="3"/>
        <v>2</v>
      </c>
      <c r="AI79">
        <f t="shared" si="4"/>
        <v>30</v>
      </c>
      <c r="AJ79">
        <f t="shared" si="5"/>
        <v>1</v>
      </c>
    </row>
    <row r="80" spans="1:36" ht="15">
      <c r="A80" s="177"/>
      <c r="B80">
        <v>79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f t="shared" si="3"/>
        <v>1</v>
      </c>
      <c r="AI80">
        <f t="shared" si="4"/>
        <v>30</v>
      </c>
      <c r="AJ80">
        <f t="shared" si="5"/>
        <v>1</v>
      </c>
    </row>
    <row r="81" spans="1:36" ht="15">
      <c r="A81" s="177"/>
      <c r="B81">
        <v>80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3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f t="shared" si="3"/>
        <v>3</v>
      </c>
      <c r="AI81">
        <f t="shared" si="4"/>
        <v>30</v>
      </c>
      <c r="AJ81">
        <f t="shared" si="5"/>
        <v>1</v>
      </c>
    </row>
    <row r="82" spans="1:36" s="108" customFormat="1" ht="15">
      <c r="A82" s="124"/>
      <c r="C82" s="108">
        <f>SUM(C2:C81)</f>
        <v>1</v>
      </c>
      <c r="D82" s="108">
        <f aca="true" t="shared" si="6" ref="D82:AF82">SUM(D2:D81)</f>
        <v>1</v>
      </c>
      <c r="E82" s="108">
        <f t="shared" si="6"/>
        <v>6</v>
      </c>
      <c r="F82" s="108">
        <f t="shared" si="6"/>
        <v>0</v>
      </c>
      <c r="G82" s="108">
        <f t="shared" si="6"/>
        <v>4</v>
      </c>
      <c r="H82" s="108">
        <f t="shared" si="6"/>
        <v>0</v>
      </c>
      <c r="I82" s="108">
        <f t="shared" si="6"/>
        <v>7</v>
      </c>
      <c r="J82" s="108">
        <f t="shared" si="6"/>
        <v>0</v>
      </c>
      <c r="K82" s="108">
        <f t="shared" si="6"/>
        <v>10</v>
      </c>
      <c r="L82" s="108">
        <f t="shared" si="6"/>
        <v>1</v>
      </c>
      <c r="M82" s="108">
        <f t="shared" si="6"/>
        <v>43</v>
      </c>
      <c r="N82" s="108">
        <f t="shared" si="6"/>
        <v>17</v>
      </c>
      <c r="O82" s="108">
        <f t="shared" si="6"/>
        <v>34</v>
      </c>
      <c r="P82" s="108">
        <f t="shared" si="6"/>
        <v>1</v>
      </c>
      <c r="Q82" s="108">
        <f t="shared" si="6"/>
        <v>0</v>
      </c>
      <c r="R82" s="108">
        <f t="shared" si="6"/>
        <v>0</v>
      </c>
      <c r="S82" s="108">
        <f t="shared" si="6"/>
        <v>0</v>
      </c>
      <c r="T82" s="108">
        <f t="shared" si="6"/>
        <v>0</v>
      </c>
      <c r="U82" s="108">
        <f t="shared" si="6"/>
        <v>0</v>
      </c>
      <c r="V82" s="108">
        <f t="shared" si="6"/>
        <v>0</v>
      </c>
      <c r="W82" s="108">
        <f t="shared" si="6"/>
        <v>0</v>
      </c>
      <c r="X82" s="108">
        <f t="shared" si="6"/>
        <v>26</v>
      </c>
      <c r="Y82" s="108">
        <f t="shared" si="6"/>
        <v>4</v>
      </c>
      <c r="Z82" s="108">
        <f t="shared" si="6"/>
        <v>2</v>
      </c>
      <c r="AA82" s="108">
        <f t="shared" si="6"/>
        <v>0</v>
      </c>
      <c r="AB82" s="108">
        <f t="shared" si="6"/>
        <v>0</v>
      </c>
      <c r="AC82" s="108">
        <f t="shared" si="6"/>
        <v>1</v>
      </c>
      <c r="AD82" s="108">
        <f t="shared" si="6"/>
        <v>1</v>
      </c>
      <c r="AE82" s="108">
        <f t="shared" si="6"/>
        <v>3</v>
      </c>
      <c r="AF82" s="108">
        <f t="shared" si="6"/>
        <v>7</v>
      </c>
      <c r="AG82" s="108">
        <f>SUM(AG3:AG81)</f>
        <v>41</v>
      </c>
      <c r="AH82" s="108">
        <f t="shared" si="3"/>
        <v>210</v>
      </c>
      <c r="AI82" s="108">
        <f t="shared" si="4"/>
        <v>12</v>
      </c>
      <c r="AJ82" s="108">
        <f t="shared" si="5"/>
        <v>19</v>
      </c>
    </row>
    <row r="83" spans="1:36" ht="15">
      <c r="A83" s="177">
        <v>2</v>
      </c>
      <c r="B83"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2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f t="shared" si="3"/>
        <v>3</v>
      </c>
      <c r="AI83">
        <f t="shared" si="4"/>
        <v>29</v>
      </c>
      <c r="AJ83">
        <f t="shared" si="5"/>
        <v>2</v>
      </c>
    </row>
    <row r="84" spans="1:36" ht="15">
      <c r="A84" s="177"/>
      <c r="B84">
        <v>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f t="shared" si="3"/>
        <v>0</v>
      </c>
      <c r="AI84">
        <f t="shared" si="4"/>
        <v>31</v>
      </c>
      <c r="AJ84">
        <f t="shared" si="5"/>
        <v>0</v>
      </c>
    </row>
    <row r="85" spans="1:36" ht="15">
      <c r="A85" s="177"/>
      <c r="B85">
        <v>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f t="shared" si="3"/>
        <v>0</v>
      </c>
      <c r="AI85">
        <f t="shared" si="4"/>
        <v>31</v>
      </c>
      <c r="AJ85">
        <f t="shared" si="5"/>
        <v>0</v>
      </c>
    </row>
    <row r="86" spans="1:36" ht="15">
      <c r="A86" s="177"/>
      <c r="B86">
        <v>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2</v>
      </c>
      <c r="N86">
        <v>0</v>
      </c>
      <c r="O86">
        <v>1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f t="shared" si="3"/>
        <v>3</v>
      </c>
      <c r="AI86">
        <f t="shared" si="4"/>
        <v>29</v>
      </c>
      <c r="AJ86">
        <f t="shared" si="5"/>
        <v>2</v>
      </c>
    </row>
    <row r="87" spans="1:36" ht="15">
      <c r="A87" s="177"/>
      <c r="B87">
        <v>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f t="shared" si="3"/>
        <v>0</v>
      </c>
      <c r="AI87">
        <f t="shared" si="4"/>
        <v>31</v>
      </c>
      <c r="AJ87">
        <f t="shared" si="5"/>
        <v>0</v>
      </c>
    </row>
    <row r="88" spans="1:36" ht="15">
      <c r="A88" s="177"/>
      <c r="B88">
        <v>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f t="shared" si="3"/>
        <v>0</v>
      </c>
      <c r="AI88">
        <f t="shared" si="4"/>
        <v>31</v>
      </c>
      <c r="AJ88">
        <f t="shared" si="5"/>
        <v>0</v>
      </c>
    </row>
    <row r="89" spans="1:36" ht="15">
      <c r="A89" s="177"/>
      <c r="B89" s="121">
        <v>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</v>
      </c>
      <c r="T89">
        <v>0</v>
      </c>
      <c r="U89">
        <v>0</v>
      </c>
      <c r="V89">
        <v>0</v>
      </c>
      <c r="W89">
        <v>0</v>
      </c>
      <c r="X89">
        <v>1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f t="shared" si="3"/>
        <v>3</v>
      </c>
      <c r="AI89">
        <f t="shared" si="4"/>
        <v>29</v>
      </c>
      <c r="AJ89">
        <f t="shared" si="5"/>
        <v>2</v>
      </c>
    </row>
    <row r="90" spans="1:36" ht="15">
      <c r="A90" s="177"/>
      <c r="B90">
        <v>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f t="shared" si="3"/>
        <v>2</v>
      </c>
      <c r="AI90">
        <f t="shared" si="4"/>
        <v>30</v>
      </c>
      <c r="AJ90">
        <f t="shared" si="5"/>
        <v>1</v>
      </c>
    </row>
    <row r="91" spans="1:36" ht="15">
      <c r="A91" s="177"/>
      <c r="B91">
        <v>9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f t="shared" si="3"/>
        <v>0</v>
      </c>
      <c r="AI91">
        <f t="shared" si="4"/>
        <v>31</v>
      </c>
      <c r="AJ91">
        <f t="shared" si="5"/>
        <v>0</v>
      </c>
    </row>
    <row r="92" spans="1:36" ht="15">
      <c r="A92" s="177"/>
      <c r="B92">
        <v>10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f t="shared" si="3"/>
        <v>0</v>
      </c>
      <c r="AI92">
        <f t="shared" si="4"/>
        <v>31</v>
      </c>
      <c r="AJ92">
        <f t="shared" si="5"/>
        <v>0</v>
      </c>
    </row>
    <row r="93" spans="1:36" ht="15">
      <c r="A93" s="177"/>
      <c r="B93">
        <v>11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f t="shared" si="3"/>
        <v>0</v>
      </c>
      <c r="AI93">
        <f t="shared" si="4"/>
        <v>31</v>
      </c>
      <c r="AJ93">
        <f t="shared" si="5"/>
        <v>0</v>
      </c>
    </row>
    <row r="94" spans="1:36" ht="15">
      <c r="A94" s="177"/>
      <c r="B94">
        <v>12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f t="shared" si="3"/>
        <v>0</v>
      </c>
      <c r="AI94">
        <f t="shared" si="4"/>
        <v>31</v>
      </c>
      <c r="AJ94">
        <f t="shared" si="5"/>
        <v>0</v>
      </c>
    </row>
    <row r="95" spans="1:36" ht="15">
      <c r="A95" s="177"/>
      <c r="B95">
        <v>13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1</v>
      </c>
      <c r="AH95">
        <f t="shared" si="3"/>
        <v>1</v>
      </c>
      <c r="AI95">
        <f t="shared" si="4"/>
        <v>30</v>
      </c>
      <c r="AJ95">
        <f t="shared" si="5"/>
        <v>1</v>
      </c>
    </row>
    <row r="96" spans="1:36" ht="15">
      <c r="A96" s="177"/>
      <c r="B96">
        <v>14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f t="shared" si="3"/>
        <v>0</v>
      </c>
      <c r="AI96">
        <f t="shared" si="4"/>
        <v>31</v>
      </c>
      <c r="AJ96">
        <f t="shared" si="5"/>
        <v>0</v>
      </c>
    </row>
    <row r="97" spans="1:36" ht="15">
      <c r="A97" s="177"/>
      <c r="B97">
        <v>15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1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f t="shared" si="3"/>
        <v>1</v>
      </c>
      <c r="AI97">
        <f t="shared" si="4"/>
        <v>30</v>
      </c>
      <c r="AJ97">
        <f t="shared" si="5"/>
        <v>1</v>
      </c>
    </row>
    <row r="98" spans="1:36" ht="15">
      <c r="A98" s="177"/>
      <c r="B98">
        <v>16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f t="shared" si="3"/>
        <v>0</v>
      </c>
      <c r="AI98">
        <f t="shared" si="4"/>
        <v>31</v>
      </c>
      <c r="AJ98">
        <f t="shared" si="5"/>
        <v>0</v>
      </c>
    </row>
    <row r="99" spans="1:36" ht="15">
      <c r="A99" s="177"/>
      <c r="B99">
        <v>17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f t="shared" si="3"/>
        <v>1</v>
      </c>
      <c r="AI99">
        <f t="shared" si="4"/>
        <v>30</v>
      </c>
      <c r="AJ99">
        <f t="shared" si="5"/>
        <v>1</v>
      </c>
    </row>
    <row r="100" spans="1:36" ht="15">
      <c r="A100" s="177"/>
      <c r="B100">
        <v>18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f t="shared" si="3"/>
        <v>0</v>
      </c>
      <c r="AI100">
        <f t="shared" si="4"/>
        <v>31</v>
      </c>
      <c r="AJ100">
        <f t="shared" si="5"/>
        <v>0</v>
      </c>
    </row>
    <row r="101" spans="1:36" ht="15">
      <c r="A101" s="177"/>
      <c r="B101">
        <v>19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f t="shared" si="3"/>
        <v>0</v>
      </c>
      <c r="AI101">
        <f t="shared" si="4"/>
        <v>31</v>
      </c>
      <c r="AJ101">
        <f t="shared" si="5"/>
        <v>0</v>
      </c>
    </row>
    <row r="102" spans="1:36" ht="15">
      <c r="A102" s="177"/>
      <c r="B102">
        <v>20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f t="shared" si="3"/>
        <v>0</v>
      </c>
      <c r="AI102">
        <f t="shared" si="4"/>
        <v>31</v>
      </c>
      <c r="AJ102">
        <f t="shared" si="5"/>
        <v>0</v>
      </c>
    </row>
    <row r="103" spans="1:36" ht="15">
      <c r="A103" s="177"/>
      <c r="B103">
        <v>21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f t="shared" si="3"/>
        <v>0</v>
      </c>
      <c r="AI103">
        <f t="shared" si="4"/>
        <v>31</v>
      </c>
      <c r="AJ103">
        <f t="shared" si="5"/>
        <v>0</v>
      </c>
    </row>
    <row r="104" spans="1:36" ht="15">
      <c r="A104" s="177"/>
      <c r="B104">
        <v>22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f t="shared" si="3"/>
        <v>0</v>
      </c>
      <c r="AI104">
        <f t="shared" si="4"/>
        <v>31</v>
      </c>
      <c r="AJ104">
        <f t="shared" si="5"/>
        <v>0</v>
      </c>
    </row>
    <row r="105" spans="1:36" ht="15">
      <c r="A105" s="177"/>
      <c r="B105">
        <v>23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2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f t="shared" si="3"/>
        <v>2</v>
      </c>
      <c r="AI105">
        <f t="shared" si="4"/>
        <v>30</v>
      </c>
      <c r="AJ105">
        <f t="shared" si="5"/>
        <v>1</v>
      </c>
    </row>
    <row r="106" spans="1:36" ht="15">
      <c r="A106" s="177"/>
      <c r="B106">
        <v>24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f t="shared" si="3"/>
        <v>0</v>
      </c>
      <c r="AI106">
        <f t="shared" si="4"/>
        <v>31</v>
      </c>
      <c r="AJ106">
        <f t="shared" si="5"/>
        <v>0</v>
      </c>
    </row>
    <row r="107" spans="1:36" ht="15">
      <c r="A107" s="177"/>
      <c r="B107">
        <v>25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f t="shared" si="3"/>
        <v>3</v>
      </c>
      <c r="AI107">
        <f t="shared" si="4"/>
        <v>30</v>
      </c>
      <c r="AJ107">
        <f t="shared" si="5"/>
        <v>1</v>
      </c>
    </row>
    <row r="108" spans="1:36" ht="15">
      <c r="A108" s="177"/>
      <c r="B108">
        <v>26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4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f t="shared" si="3"/>
        <v>4</v>
      </c>
      <c r="AI108">
        <f t="shared" si="4"/>
        <v>30</v>
      </c>
      <c r="AJ108">
        <f t="shared" si="5"/>
        <v>1</v>
      </c>
    </row>
    <row r="109" spans="1:36" ht="15">
      <c r="A109" s="177"/>
      <c r="B109">
        <v>27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6</v>
      </c>
      <c r="O109">
        <v>7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f t="shared" si="3"/>
        <v>13</v>
      </c>
      <c r="AI109">
        <f t="shared" si="4"/>
        <v>29</v>
      </c>
      <c r="AJ109">
        <f t="shared" si="5"/>
        <v>2</v>
      </c>
    </row>
    <row r="110" spans="1:36" ht="15">
      <c r="A110" s="177"/>
      <c r="B110">
        <v>28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5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f t="shared" si="3"/>
        <v>6</v>
      </c>
      <c r="AI110">
        <f t="shared" si="4"/>
        <v>29</v>
      </c>
      <c r="AJ110">
        <f t="shared" si="5"/>
        <v>2</v>
      </c>
    </row>
    <row r="111" spans="1:36" ht="15">
      <c r="A111" s="177"/>
      <c r="B111">
        <v>29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f t="shared" si="3"/>
        <v>0</v>
      </c>
      <c r="AI111">
        <f t="shared" si="4"/>
        <v>31</v>
      </c>
      <c r="AJ111">
        <f t="shared" si="5"/>
        <v>0</v>
      </c>
    </row>
    <row r="112" spans="1:36" ht="15">
      <c r="A112" s="177"/>
      <c r="B112">
        <v>30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f t="shared" si="3"/>
        <v>0</v>
      </c>
      <c r="AI112">
        <f t="shared" si="4"/>
        <v>31</v>
      </c>
      <c r="AJ112">
        <f t="shared" si="5"/>
        <v>0</v>
      </c>
    </row>
    <row r="113" spans="1:36" ht="15">
      <c r="A113" s="177"/>
      <c r="B113">
        <v>31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f t="shared" si="3"/>
        <v>0</v>
      </c>
      <c r="AI113">
        <f t="shared" si="4"/>
        <v>31</v>
      </c>
      <c r="AJ113">
        <f t="shared" si="5"/>
        <v>0</v>
      </c>
    </row>
    <row r="114" spans="1:36" ht="15">
      <c r="A114" s="177"/>
      <c r="B114">
        <v>32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f t="shared" si="3"/>
        <v>0</v>
      </c>
      <c r="AI114">
        <f t="shared" si="4"/>
        <v>31</v>
      </c>
      <c r="AJ114">
        <f t="shared" si="5"/>
        <v>0</v>
      </c>
    </row>
    <row r="115" spans="1:36" ht="15">
      <c r="A115" s="177"/>
      <c r="B115">
        <v>33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f t="shared" si="3"/>
        <v>0</v>
      </c>
      <c r="AI115">
        <f t="shared" si="4"/>
        <v>31</v>
      </c>
      <c r="AJ115">
        <f t="shared" si="5"/>
        <v>0</v>
      </c>
    </row>
    <row r="116" spans="1:36" ht="15">
      <c r="A116" s="177"/>
      <c r="B116">
        <v>34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f t="shared" si="3"/>
        <v>0</v>
      </c>
      <c r="AI116">
        <f t="shared" si="4"/>
        <v>31</v>
      </c>
      <c r="AJ116">
        <f t="shared" si="5"/>
        <v>0</v>
      </c>
    </row>
    <row r="117" spans="1:36" ht="15">
      <c r="A117" s="177"/>
      <c r="B117">
        <v>35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6</v>
      </c>
      <c r="N117">
        <v>3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f t="shared" si="3"/>
        <v>10</v>
      </c>
      <c r="AI117">
        <f t="shared" si="4"/>
        <v>28</v>
      </c>
      <c r="AJ117">
        <f t="shared" si="5"/>
        <v>3</v>
      </c>
    </row>
    <row r="118" spans="1:36" ht="15">
      <c r="A118" s="177"/>
      <c r="B118">
        <v>36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f t="shared" si="3"/>
        <v>0</v>
      </c>
      <c r="AI118">
        <f t="shared" si="4"/>
        <v>31</v>
      </c>
      <c r="AJ118">
        <f t="shared" si="5"/>
        <v>0</v>
      </c>
    </row>
    <row r="119" spans="1:36" ht="15">
      <c r="A119" s="177"/>
      <c r="B119">
        <v>37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3</v>
      </c>
      <c r="X119">
        <v>4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f t="shared" si="3"/>
        <v>7</v>
      </c>
      <c r="AI119">
        <f t="shared" si="4"/>
        <v>29</v>
      </c>
      <c r="AJ119">
        <f t="shared" si="5"/>
        <v>2</v>
      </c>
    </row>
    <row r="120" spans="1:36" ht="15">
      <c r="A120" s="177"/>
      <c r="B120">
        <v>38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f t="shared" si="3"/>
        <v>1</v>
      </c>
      <c r="AI120">
        <f t="shared" si="4"/>
        <v>30</v>
      </c>
      <c r="AJ120">
        <f t="shared" si="5"/>
        <v>1</v>
      </c>
    </row>
    <row r="121" spans="1:36" ht="15">
      <c r="A121" s="177"/>
      <c r="B121">
        <v>39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f t="shared" si="3"/>
        <v>11</v>
      </c>
      <c r="AI121">
        <f t="shared" si="4"/>
        <v>30</v>
      </c>
      <c r="AJ121">
        <f t="shared" si="5"/>
        <v>1</v>
      </c>
    </row>
    <row r="122" spans="1:36" ht="15">
      <c r="A122" s="177"/>
      <c r="B122">
        <v>40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4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f t="shared" si="3"/>
        <v>4</v>
      </c>
      <c r="AI122">
        <f t="shared" si="4"/>
        <v>30</v>
      </c>
      <c r="AJ122">
        <f t="shared" si="5"/>
        <v>1</v>
      </c>
    </row>
    <row r="123" spans="1:36" ht="15">
      <c r="A123" s="177"/>
      <c r="B123">
        <v>41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12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f t="shared" si="3"/>
        <v>12</v>
      </c>
      <c r="AI123">
        <f t="shared" si="4"/>
        <v>30</v>
      </c>
      <c r="AJ123">
        <f t="shared" si="5"/>
        <v>1</v>
      </c>
    </row>
    <row r="124" spans="1:36" ht="15">
      <c r="A124" s="177"/>
      <c r="B124">
        <v>42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9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f t="shared" si="3"/>
        <v>9</v>
      </c>
      <c r="AI124">
        <f t="shared" si="4"/>
        <v>30</v>
      </c>
      <c r="AJ124">
        <f t="shared" si="5"/>
        <v>1</v>
      </c>
    </row>
    <row r="125" spans="1:36" ht="15">
      <c r="A125" s="177"/>
      <c r="B125">
        <v>43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f t="shared" si="3"/>
        <v>0</v>
      </c>
      <c r="AI125">
        <f t="shared" si="4"/>
        <v>31</v>
      </c>
      <c r="AJ125">
        <f t="shared" si="5"/>
        <v>0</v>
      </c>
    </row>
    <row r="126" spans="1:36" ht="15">
      <c r="A126" s="177"/>
      <c r="B126">
        <v>44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f t="shared" si="3"/>
        <v>0</v>
      </c>
      <c r="AI126">
        <f t="shared" si="4"/>
        <v>31</v>
      </c>
      <c r="AJ126">
        <f t="shared" si="5"/>
        <v>0</v>
      </c>
    </row>
    <row r="127" spans="1:36" ht="15">
      <c r="A127" s="177"/>
      <c r="B127">
        <v>45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0</v>
      </c>
      <c r="M127">
        <v>5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f t="shared" si="3"/>
        <v>6</v>
      </c>
      <c r="AI127">
        <f t="shared" si="4"/>
        <v>29</v>
      </c>
      <c r="AJ127">
        <f t="shared" si="5"/>
        <v>2</v>
      </c>
    </row>
    <row r="128" spans="1:36" ht="15">
      <c r="A128" s="177"/>
      <c r="B128">
        <v>46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4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f t="shared" si="3"/>
        <v>5</v>
      </c>
      <c r="AI128">
        <f t="shared" si="4"/>
        <v>29</v>
      </c>
      <c r="AJ128">
        <f t="shared" si="5"/>
        <v>2</v>
      </c>
    </row>
    <row r="129" spans="1:36" ht="15">
      <c r="A129" s="177"/>
      <c r="B129">
        <v>47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5</v>
      </c>
      <c r="N129">
        <v>4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f t="shared" si="3"/>
        <v>10</v>
      </c>
      <c r="AI129">
        <f t="shared" si="4"/>
        <v>28</v>
      </c>
      <c r="AJ129">
        <f t="shared" si="5"/>
        <v>3</v>
      </c>
    </row>
    <row r="130" spans="1:36" ht="15">
      <c r="A130" s="177"/>
      <c r="B130">
        <v>48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f t="shared" si="3"/>
        <v>1</v>
      </c>
      <c r="AI130">
        <f t="shared" si="4"/>
        <v>30</v>
      </c>
      <c r="AJ130">
        <f t="shared" si="5"/>
        <v>1</v>
      </c>
    </row>
    <row r="131" spans="1:36" ht="15">
      <c r="A131" s="177"/>
      <c r="B131">
        <v>49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f aca="true" t="shared" si="7" ref="AH131:AH194">SUM(C131:AG131)</f>
        <v>0</v>
      </c>
      <c r="AI131">
        <f aca="true" t="shared" si="8" ref="AI131:AI194">COUNTIF(C131:AG131,0)</f>
        <v>31</v>
      </c>
      <c r="AJ131">
        <f aca="true" t="shared" si="9" ref="AJ131:AJ194">31-AI131</f>
        <v>0</v>
      </c>
    </row>
    <row r="132" spans="1:36" ht="15">
      <c r="A132" s="177"/>
      <c r="B132">
        <v>50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f t="shared" si="7"/>
        <v>0</v>
      </c>
      <c r="AI132">
        <f t="shared" si="8"/>
        <v>31</v>
      </c>
      <c r="AJ132">
        <f t="shared" si="9"/>
        <v>0</v>
      </c>
    </row>
    <row r="133" spans="1:36" ht="15">
      <c r="A133" s="177"/>
      <c r="B133">
        <v>51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f t="shared" si="7"/>
        <v>0</v>
      </c>
      <c r="AI133">
        <f t="shared" si="8"/>
        <v>31</v>
      </c>
      <c r="AJ133">
        <f t="shared" si="9"/>
        <v>0</v>
      </c>
    </row>
    <row r="134" spans="1:36" ht="15">
      <c r="A134" s="177"/>
      <c r="B134">
        <v>52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f t="shared" si="7"/>
        <v>0</v>
      </c>
      <c r="AI134">
        <f t="shared" si="8"/>
        <v>31</v>
      </c>
      <c r="AJ134">
        <f t="shared" si="9"/>
        <v>0</v>
      </c>
    </row>
    <row r="135" spans="1:36" ht="15">
      <c r="A135" s="177"/>
      <c r="B135">
        <v>53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f t="shared" si="7"/>
        <v>1</v>
      </c>
      <c r="AI135">
        <f t="shared" si="8"/>
        <v>30</v>
      </c>
      <c r="AJ135">
        <f t="shared" si="9"/>
        <v>1</v>
      </c>
    </row>
    <row r="136" spans="1:36" ht="15">
      <c r="A136" s="177"/>
      <c r="B136">
        <v>54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f t="shared" si="7"/>
        <v>0</v>
      </c>
      <c r="AI136">
        <f t="shared" si="8"/>
        <v>31</v>
      </c>
      <c r="AJ136">
        <f t="shared" si="9"/>
        <v>0</v>
      </c>
    </row>
    <row r="137" spans="1:36" ht="15">
      <c r="A137" s="177"/>
      <c r="B137">
        <v>55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3</v>
      </c>
      <c r="AH137">
        <f t="shared" si="7"/>
        <v>3</v>
      </c>
      <c r="AI137">
        <f t="shared" si="8"/>
        <v>30</v>
      </c>
      <c r="AJ137">
        <f t="shared" si="9"/>
        <v>1</v>
      </c>
    </row>
    <row r="138" spans="1:36" ht="15">
      <c r="A138" s="177"/>
      <c r="B138">
        <v>56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f t="shared" si="7"/>
        <v>1</v>
      </c>
      <c r="AI138">
        <f t="shared" si="8"/>
        <v>30</v>
      </c>
      <c r="AJ138">
        <f t="shared" si="9"/>
        <v>1</v>
      </c>
    </row>
    <row r="139" spans="1:36" ht="15">
      <c r="A139" s="177"/>
      <c r="B139">
        <v>57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1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f t="shared" si="7"/>
        <v>1</v>
      </c>
      <c r="AI139">
        <f t="shared" si="8"/>
        <v>30</v>
      </c>
      <c r="AJ139">
        <f t="shared" si="9"/>
        <v>1</v>
      </c>
    </row>
    <row r="140" spans="1:36" ht="15">
      <c r="A140" s="177"/>
      <c r="B140">
        <v>58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f t="shared" si="7"/>
        <v>1</v>
      </c>
      <c r="AI140">
        <f t="shared" si="8"/>
        <v>30</v>
      </c>
      <c r="AJ140">
        <f t="shared" si="9"/>
        <v>1</v>
      </c>
    </row>
    <row r="141" spans="1:36" ht="15">
      <c r="A141" s="177"/>
      <c r="B141">
        <v>59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6</v>
      </c>
      <c r="AH141">
        <f t="shared" si="7"/>
        <v>6</v>
      </c>
      <c r="AI141">
        <f t="shared" si="8"/>
        <v>30</v>
      </c>
      <c r="AJ141">
        <f t="shared" si="9"/>
        <v>1</v>
      </c>
    </row>
    <row r="142" spans="1:36" ht="15">
      <c r="A142" s="177"/>
      <c r="B142">
        <v>60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f t="shared" si="7"/>
        <v>0</v>
      </c>
      <c r="AI142">
        <f t="shared" si="8"/>
        <v>31</v>
      </c>
      <c r="AJ142">
        <f t="shared" si="9"/>
        <v>0</v>
      </c>
    </row>
    <row r="143" spans="1:36" ht="15">
      <c r="A143" s="177"/>
      <c r="B143">
        <v>61</v>
      </c>
      <c r="C143">
        <v>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f t="shared" si="7"/>
        <v>1</v>
      </c>
      <c r="AI143">
        <f t="shared" si="8"/>
        <v>30</v>
      </c>
      <c r="AJ143">
        <f t="shared" si="9"/>
        <v>1</v>
      </c>
    </row>
    <row r="144" spans="1:36" ht="15">
      <c r="A144" s="177"/>
      <c r="B144">
        <v>62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f t="shared" si="7"/>
        <v>0</v>
      </c>
      <c r="AI144">
        <f t="shared" si="8"/>
        <v>31</v>
      </c>
      <c r="AJ144">
        <f t="shared" si="9"/>
        <v>0</v>
      </c>
    </row>
    <row r="145" spans="1:36" ht="15">
      <c r="A145" s="177"/>
      <c r="B145">
        <v>63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f t="shared" si="7"/>
        <v>1</v>
      </c>
      <c r="AI145">
        <f t="shared" si="8"/>
        <v>30</v>
      </c>
      <c r="AJ145">
        <f t="shared" si="9"/>
        <v>1</v>
      </c>
    </row>
    <row r="146" spans="1:36" ht="15">
      <c r="A146" s="177"/>
      <c r="B146">
        <v>64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f t="shared" si="7"/>
        <v>2</v>
      </c>
      <c r="AI146">
        <f t="shared" si="8"/>
        <v>30</v>
      </c>
      <c r="AJ146">
        <f t="shared" si="9"/>
        <v>1</v>
      </c>
    </row>
    <row r="147" spans="1:36" ht="15">
      <c r="A147" s="177"/>
      <c r="B147" s="121">
        <v>65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2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3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f t="shared" si="7"/>
        <v>5</v>
      </c>
      <c r="AI147">
        <f t="shared" si="8"/>
        <v>29</v>
      </c>
      <c r="AJ147">
        <f t="shared" si="9"/>
        <v>2</v>
      </c>
    </row>
    <row r="148" spans="1:36" ht="15">
      <c r="A148" s="177"/>
      <c r="B148">
        <v>66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2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f t="shared" si="7"/>
        <v>4</v>
      </c>
      <c r="AI148">
        <f t="shared" si="8"/>
        <v>29</v>
      </c>
      <c r="AJ148">
        <f t="shared" si="9"/>
        <v>2</v>
      </c>
    </row>
    <row r="149" spans="1:36" ht="15">
      <c r="A149" s="177"/>
      <c r="B149">
        <v>67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1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f t="shared" si="7"/>
        <v>6</v>
      </c>
      <c r="AI149">
        <f t="shared" si="8"/>
        <v>29</v>
      </c>
      <c r="AJ149">
        <f t="shared" si="9"/>
        <v>2</v>
      </c>
    </row>
    <row r="150" spans="1:36" ht="15">
      <c r="A150" s="177"/>
      <c r="B150">
        <v>68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7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f t="shared" si="7"/>
        <v>8</v>
      </c>
      <c r="AI150">
        <f t="shared" si="8"/>
        <v>29</v>
      </c>
      <c r="AJ150">
        <f t="shared" si="9"/>
        <v>2</v>
      </c>
    </row>
    <row r="151" spans="1:36" ht="15">
      <c r="A151" s="177"/>
      <c r="B151">
        <v>69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</v>
      </c>
      <c r="L151">
        <v>0</v>
      </c>
      <c r="M151">
        <v>3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2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1</v>
      </c>
      <c r="AD151">
        <v>0</v>
      </c>
      <c r="AE151">
        <v>0</v>
      </c>
      <c r="AF151">
        <v>0</v>
      </c>
      <c r="AG151">
        <v>0</v>
      </c>
      <c r="AH151">
        <f t="shared" si="7"/>
        <v>7</v>
      </c>
      <c r="AI151">
        <f t="shared" si="8"/>
        <v>27</v>
      </c>
      <c r="AJ151">
        <f t="shared" si="9"/>
        <v>4</v>
      </c>
    </row>
    <row r="152" spans="1:36" ht="15">
      <c r="A152" s="177"/>
      <c r="B152">
        <v>70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7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3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f t="shared" si="7"/>
        <v>10</v>
      </c>
      <c r="AI152">
        <f t="shared" si="8"/>
        <v>29</v>
      </c>
      <c r="AJ152">
        <f t="shared" si="9"/>
        <v>2</v>
      </c>
    </row>
    <row r="153" spans="1:36" ht="15">
      <c r="A153" s="177"/>
      <c r="B153">
        <v>71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4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f t="shared" si="7"/>
        <v>5</v>
      </c>
      <c r="AI153">
        <f t="shared" si="8"/>
        <v>29</v>
      </c>
      <c r="AJ153">
        <f t="shared" si="9"/>
        <v>2</v>
      </c>
    </row>
    <row r="154" spans="1:36" ht="15">
      <c r="A154" s="177"/>
      <c r="B154">
        <v>72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8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f t="shared" si="7"/>
        <v>9</v>
      </c>
      <c r="AI154">
        <f t="shared" si="8"/>
        <v>29</v>
      </c>
      <c r="AJ154">
        <f t="shared" si="9"/>
        <v>2</v>
      </c>
    </row>
    <row r="155" spans="1:36" ht="15">
      <c r="A155" s="177"/>
      <c r="B155">
        <v>73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5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7</v>
      </c>
      <c r="W155">
        <v>0</v>
      </c>
      <c r="X155">
        <v>1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f t="shared" si="7"/>
        <v>13</v>
      </c>
      <c r="AI155">
        <f t="shared" si="8"/>
        <v>28</v>
      </c>
      <c r="AJ155">
        <f t="shared" si="9"/>
        <v>3</v>
      </c>
    </row>
    <row r="156" spans="1:36" ht="15">
      <c r="A156" s="177"/>
      <c r="B156">
        <v>74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6</v>
      </c>
      <c r="N156">
        <v>14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f t="shared" si="7"/>
        <v>21</v>
      </c>
      <c r="AI156">
        <f t="shared" si="8"/>
        <v>28</v>
      </c>
      <c r="AJ156">
        <f t="shared" si="9"/>
        <v>3</v>
      </c>
    </row>
    <row r="157" spans="1:36" ht="15">
      <c r="A157" s="177"/>
      <c r="B157">
        <v>75</v>
      </c>
      <c r="C157">
        <v>0</v>
      </c>
      <c r="D157">
        <v>0</v>
      </c>
      <c r="E157">
        <v>3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16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1</v>
      </c>
      <c r="Y157">
        <v>0</v>
      </c>
      <c r="Z157">
        <v>0</v>
      </c>
      <c r="AA157">
        <v>0</v>
      </c>
      <c r="AB157">
        <v>0</v>
      </c>
      <c r="AC157">
        <v>2</v>
      </c>
      <c r="AD157">
        <v>0</v>
      </c>
      <c r="AE157">
        <v>0</v>
      </c>
      <c r="AF157">
        <v>0</v>
      </c>
      <c r="AG157">
        <v>0</v>
      </c>
      <c r="AH157">
        <f t="shared" si="7"/>
        <v>22</v>
      </c>
      <c r="AI157">
        <f t="shared" si="8"/>
        <v>27</v>
      </c>
      <c r="AJ157">
        <f t="shared" si="9"/>
        <v>4</v>
      </c>
    </row>
    <row r="158" spans="1:36" ht="15">
      <c r="A158" s="177"/>
      <c r="B158">
        <v>76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8</v>
      </c>
      <c r="Y158">
        <v>0</v>
      </c>
      <c r="Z158">
        <v>0</v>
      </c>
      <c r="AA158">
        <v>0</v>
      </c>
      <c r="AB158">
        <v>3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f t="shared" si="7"/>
        <v>11</v>
      </c>
      <c r="AI158">
        <f t="shared" si="8"/>
        <v>29</v>
      </c>
      <c r="AJ158">
        <f t="shared" si="9"/>
        <v>2</v>
      </c>
    </row>
    <row r="159" spans="1:36" ht="15">
      <c r="A159" s="177"/>
      <c r="B159">
        <v>77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</v>
      </c>
      <c r="K159">
        <v>2</v>
      </c>
      <c r="L159">
        <v>0</v>
      </c>
      <c r="M159">
        <v>11</v>
      </c>
      <c r="N159">
        <v>3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2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1</v>
      </c>
      <c r="AH159">
        <f t="shared" si="7"/>
        <v>20</v>
      </c>
      <c r="AI159">
        <f t="shared" si="8"/>
        <v>25</v>
      </c>
      <c r="AJ159">
        <f t="shared" si="9"/>
        <v>6</v>
      </c>
    </row>
    <row r="160" spans="1:36" ht="15">
      <c r="A160" s="177"/>
      <c r="B160">
        <v>78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7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2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6</v>
      </c>
      <c r="AH160">
        <f t="shared" si="7"/>
        <v>16</v>
      </c>
      <c r="AI160">
        <f t="shared" si="8"/>
        <v>27</v>
      </c>
      <c r="AJ160">
        <f t="shared" si="9"/>
        <v>4</v>
      </c>
    </row>
    <row r="161" spans="1:36" ht="15">
      <c r="A161" s="177"/>
      <c r="B161">
        <v>79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8</v>
      </c>
      <c r="N161">
        <v>0</v>
      </c>
      <c r="O161">
        <v>0</v>
      </c>
      <c r="P161">
        <v>1</v>
      </c>
      <c r="Q161">
        <v>1</v>
      </c>
      <c r="R161">
        <v>0</v>
      </c>
      <c r="S161">
        <v>0</v>
      </c>
      <c r="T161">
        <v>1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1</v>
      </c>
      <c r="AD161">
        <v>0</v>
      </c>
      <c r="AE161">
        <v>0</v>
      </c>
      <c r="AF161">
        <v>0</v>
      </c>
      <c r="AG161">
        <v>3</v>
      </c>
      <c r="AH161">
        <f t="shared" si="7"/>
        <v>15</v>
      </c>
      <c r="AI161">
        <f t="shared" si="8"/>
        <v>25</v>
      </c>
      <c r="AJ161">
        <f t="shared" si="9"/>
        <v>6</v>
      </c>
    </row>
    <row r="162" spans="1:36" ht="15">
      <c r="A162" s="177"/>
      <c r="B162">
        <v>80</v>
      </c>
      <c r="C162">
        <v>0</v>
      </c>
      <c r="D162">
        <v>0</v>
      </c>
      <c r="E162">
        <v>0</v>
      </c>
      <c r="F162">
        <v>3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5</v>
      </c>
      <c r="O162">
        <v>0</v>
      </c>
      <c r="P162">
        <v>0</v>
      </c>
      <c r="Q162">
        <v>3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7</v>
      </c>
      <c r="AH162">
        <f t="shared" si="7"/>
        <v>18</v>
      </c>
      <c r="AI162">
        <f t="shared" si="8"/>
        <v>27</v>
      </c>
      <c r="AJ162">
        <f t="shared" si="9"/>
        <v>4</v>
      </c>
    </row>
    <row r="163" spans="3:36" s="108" customFormat="1" ht="15">
      <c r="C163" s="108">
        <f>SUM(C83:C162)</f>
        <v>1</v>
      </c>
      <c r="D163" s="108">
        <f aca="true" t="shared" si="10" ref="D163:AG163">SUM(D83:D162)</f>
        <v>0</v>
      </c>
      <c r="E163" s="108">
        <f t="shared" si="10"/>
        <v>3</v>
      </c>
      <c r="F163" s="108">
        <f t="shared" si="10"/>
        <v>3</v>
      </c>
      <c r="G163" s="108">
        <f t="shared" si="10"/>
        <v>0</v>
      </c>
      <c r="H163" s="108">
        <f t="shared" si="10"/>
        <v>0</v>
      </c>
      <c r="I163" s="108">
        <f t="shared" si="10"/>
        <v>2</v>
      </c>
      <c r="J163" s="108">
        <f t="shared" si="10"/>
        <v>5</v>
      </c>
      <c r="K163" s="108">
        <f t="shared" si="10"/>
        <v>36</v>
      </c>
      <c r="L163" s="108">
        <f t="shared" si="10"/>
        <v>2</v>
      </c>
      <c r="M163" s="108">
        <f t="shared" si="10"/>
        <v>97</v>
      </c>
      <c r="N163" s="108">
        <f t="shared" si="10"/>
        <v>59</v>
      </c>
      <c r="O163" s="108">
        <f t="shared" si="10"/>
        <v>13</v>
      </c>
      <c r="P163" s="108">
        <f t="shared" si="10"/>
        <v>2</v>
      </c>
      <c r="Q163" s="108">
        <f t="shared" si="10"/>
        <v>5</v>
      </c>
      <c r="R163" s="108">
        <f t="shared" si="10"/>
        <v>1</v>
      </c>
      <c r="S163" s="108">
        <f t="shared" si="10"/>
        <v>2</v>
      </c>
      <c r="T163" s="108">
        <f t="shared" si="10"/>
        <v>4</v>
      </c>
      <c r="U163" s="108">
        <f t="shared" si="10"/>
        <v>1</v>
      </c>
      <c r="V163" s="108">
        <f t="shared" si="10"/>
        <v>13</v>
      </c>
      <c r="W163" s="108">
        <f t="shared" si="10"/>
        <v>3</v>
      </c>
      <c r="X163" s="108">
        <f t="shared" si="10"/>
        <v>34</v>
      </c>
      <c r="Y163" s="108">
        <f t="shared" si="10"/>
        <v>4</v>
      </c>
      <c r="Z163" s="108">
        <f t="shared" si="10"/>
        <v>0</v>
      </c>
      <c r="AA163" s="108">
        <f t="shared" si="10"/>
        <v>1</v>
      </c>
      <c r="AB163" s="108">
        <f t="shared" si="10"/>
        <v>3</v>
      </c>
      <c r="AC163" s="108">
        <f t="shared" si="10"/>
        <v>4</v>
      </c>
      <c r="AD163" s="108">
        <f t="shared" si="10"/>
        <v>0</v>
      </c>
      <c r="AE163" s="108">
        <f t="shared" si="10"/>
        <v>0</v>
      </c>
      <c r="AF163" s="108">
        <f t="shared" si="10"/>
        <v>0</v>
      </c>
      <c r="AG163" s="108">
        <f t="shared" si="10"/>
        <v>27</v>
      </c>
      <c r="AH163" s="108">
        <f t="shared" si="7"/>
        <v>325</v>
      </c>
      <c r="AI163" s="108">
        <f t="shared" si="8"/>
        <v>7</v>
      </c>
      <c r="AJ163" s="108">
        <f t="shared" si="9"/>
        <v>24</v>
      </c>
    </row>
    <row r="164" spans="1:36" ht="15">
      <c r="A164" s="177">
        <v>3</v>
      </c>
      <c r="B164">
        <v>1</v>
      </c>
      <c r="C164">
        <v>0</v>
      </c>
      <c r="D164">
        <v>0</v>
      </c>
      <c r="E164">
        <v>0</v>
      </c>
      <c r="F164">
        <v>8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1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f t="shared" si="7"/>
        <v>10</v>
      </c>
      <c r="AI164">
        <f t="shared" si="8"/>
        <v>28</v>
      </c>
      <c r="AJ164">
        <f t="shared" si="9"/>
        <v>3</v>
      </c>
    </row>
    <row r="165" spans="1:36" ht="15">
      <c r="A165" s="177"/>
      <c r="B165">
        <v>2</v>
      </c>
      <c r="C165">
        <v>0</v>
      </c>
      <c r="D165">
        <v>0</v>
      </c>
      <c r="E165">
        <v>0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6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f t="shared" si="7"/>
        <v>7</v>
      </c>
      <c r="AI165">
        <f t="shared" si="8"/>
        <v>29</v>
      </c>
      <c r="AJ165">
        <f t="shared" si="9"/>
        <v>2</v>
      </c>
    </row>
    <row r="166" spans="1:36" ht="15">
      <c r="A166" s="177"/>
      <c r="B166">
        <v>3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f t="shared" si="7"/>
        <v>4</v>
      </c>
      <c r="AI166">
        <f t="shared" si="8"/>
        <v>30</v>
      </c>
      <c r="AJ166">
        <f t="shared" si="9"/>
        <v>1</v>
      </c>
    </row>
    <row r="167" spans="1:36" ht="15">
      <c r="A167" s="177"/>
      <c r="B167">
        <v>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2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f t="shared" si="7"/>
        <v>2</v>
      </c>
      <c r="AI167">
        <f t="shared" si="8"/>
        <v>30</v>
      </c>
      <c r="AJ167">
        <f t="shared" si="9"/>
        <v>1</v>
      </c>
    </row>
    <row r="168" spans="1:36" ht="15">
      <c r="A168" s="177"/>
      <c r="B168">
        <v>5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1</v>
      </c>
      <c r="AD168">
        <v>0</v>
      </c>
      <c r="AE168">
        <v>0</v>
      </c>
      <c r="AF168">
        <v>12</v>
      </c>
      <c r="AG168">
        <v>0</v>
      </c>
      <c r="AH168">
        <f t="shared" si="7"/>
        <v>13</v>
      </c>
      <c r="AI168">
        <f t="shared" si="8"/>
        <v>29</v>
      </c>
      <c r="AJ168">
        <f t="shared" si="9"/>
        <v>2</v>
      </c>
    </row>
    <row r="169" spans="1:36" ht="15">
      <c r="A169" s="177"/>
      <c r="B169">
        <v>6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2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1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f t="shared" si="7"/>
        <v>5</v>
      </c>
      <c r="AI169">
        <f t="shared" si="8"/>
        <v>27</v>
      </c>
      <c r="AJ169">
        <f t="shared" si="9"/>
        <v>4</v>
      </c>
    </row>
    <row r="170" spans="1:36" ht="15">
      <c r="A170" s="177"/>
      <c r="B170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3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f t="shared" si="7"/>
        <v>3</v>
      </c>
      <c r="AI170">
        <f t="shared" si="8"/>
        <v>30</v>
      </c>
      <c r="AJ170">
        <f t="shared" si="9"/>
        <v>1</v>
      </c>
    </row>
    <row r="171" spans="1:36" ht="15">
      <c r="A171" s="177"/>
      <c r="B171">
        <v>8</v>
      </c>
      <c r="C171">
        <v>0</v>
      </c>
      <c r="D171">
        <v>0</v>
      </c>
      <c r="E171">
        <v>0</v>
      </c>
      <c r="F171">
        <v>0</v>
      </c>
      <c r="G171">
        <v>4</v>
      </c>
      <c r="H171">
        <v>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f t="shared" si="7"/>
        <v>8</v>
      </c>
      <c r="AI171">
        <f t="shared" si="8"/>
        <v>29</v>
      </c>
      <c r="AJ171">
        <f t="shared" si="9"/>
        <v>2</v>
      </c>
    </row>
    <row r="172" spans="1:36" ht="15">
      <c r="A172" s="177"/>
      <c r="B172">
        <v>9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3</v>
      </c>
      <c r="I172">
        <v>2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f t="shared" si="7"/>
        <v>5</v>
      </c>
      <c r="AI172">
        <f t="shared" si="8"/>
        <v>29</v>
      </c>
      <c r="AJ172">
        <f t="shared" si="9"/>
        <v>2</v>
      </c>
    </row>
    <row r="173" spans="1:36" ht="15">
      <c r="A173" s="177"/>
      <c r="B173">
        <v>10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3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f t="shared" si="7"/>
        <v>3</v>
      </c>
      <c r="AI173">
        <f t="shared" si="8"/>
        <v>30</v>
      </c>
      <c r="AJ173">
        <f t="shared" si="9"/>
        <v>1</v>
      </c>
    </row>
    <row r="174" spans="1:36" ht="15">
      <c r="A174" s="177"/>
      <c r="B174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1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f t="shared" si="7"/>
        <v>1</v>
      </c>
      <c r="AI174">
        <f t="shared" si="8"/>
        <v>30</v>
      </c>
      <c r="AJ174">
        <f t="shared" si="9"/>
        <v>1</v>
      </c>
    </row>
    <row r="175" spans="1:36" ht="15">
      <c r="A175" s="177"/>
      <c r="B175">
        <v>12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6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f t="shared" si="7"/>
        <v>6</v>
      </c>
      <c r="AI175">
        <f t="shared" si="8"/>
        <v>30</v>
      </c>
      <c r="AJ175">
        <f t="shared" si="9"/>
        <v>1</v>
      </c>
    </row>
    <row r="176" spans="1:36" ht="15">
      <c r="A176" s="177"/>
      <c r="B176">
        <v>13</v>
      </c>
      <c r="C176">
        <v>0</v>
      </c>
      <c r="D176">
        <v>0</v>
      </c>
      <c r="E176">
        <v>0</v>
      </c>
      <c r="F176">
        <v>0</v>
      </c>
      <c r="G176">
        <v>2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1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f t="shared" si="7"/>
        <v>3</v>
      </c>
      <c r="AI176">
        <f t="shared" si="8"/>
        <v>29</v>
      </c>
      <c r="AJ176">
        <f t="shared" si="9"/>
        <v>2</v>
      </c>
    </row>
    <row r="177" spans="1:36" ht="15">
      <c r="A177" s="177"/>
      <c r="B177">
        <v>14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1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f t="shared" si="7"/>
        <v>6</v>
      </c>
      <c r="AI177">
        <f t="shared" si="8"/>
        <v>27</v>
      </c>
      <c r="AJ177">
        <f t="shared" si="9"/>
        <v>4</v>
      </c>
    </row>
    <row r="178" spans="1:36" ht="15">
      <c r="A178" s="177"/>
      <c r="B178">
        <v>15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f t="shared" si="7"/>
        <v>1</v>
      </c>
      <c r="AI178">
        <f t="shared" si="8"/>
        <v>30</v>
      </c>
      <c r="AJ178">
        <f t="shared" si="9"/>
        <v>1</v>
      </c>
    </row>
    <row r="179" spans="1:36" ht="15">
      <c r="A179" s="177"/>
      <c r="B179">
        <v>16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f t="shared" si="7"/>
        <v>2</v>
      </c>
      <c r="AI179">
        <f t="shared" si="8"/>
        <v>29</v>
      </c>
      <c r="AJ179">
        <f t="shared" si="9"/>
        <v>2</v>
      </c>
    </row>
    <row r="180" spans="1:36" ht="15">
      <c r="A180" s="177"/>
      <c r="B180">
        <v>17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f t="shared" si="7"/>
        <v>0</v>
      </c>
      <c r="AI180">
        <f t="shared" si="8"/>
        <v>31</v>
      </c>
      <c r="AJ180">
        <f t="shared" si="9"/>
        <v>0</v>
      </c>
    </row>
    <row r="181" spans="1:36" ht="15">
      <c r="A181" s="177"/>
      <c r="B181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f t="shared" si="7"/>
        <v>0</v>
      </c>
      <c r="AI181">
        <f t="shared" si="8"/>
        <v>31</v>
      </c>
      <c r="AJ181">
        <f t="shared" si="9"/>
        <v>0</v>
      </c>
    </row>
    <row r="182" spans="1:36" ht="15">
      <c r="A182" s="177"/>
      <c r="B182">
        <v>19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f t="shared" si="7"/>
        <v>0</v>
      </c>
      <c r="AI182">
        <f t="shared" si="8"/>
        <v>31</v>
      </c>
      <c r="AJ182">
        <f t="shared" si="9"/>
        <v>0</v>
      </c>
    </row>
    <row r="183" spans="1:36" ht="15">
      <c r="A183" s="177"/>
      <c r="B183">
        <v>20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f t="shared" si="7"/>
        <v>6</v>
      </c>
      <c r="AI183">
        <f t="shared" si="8"/>
        <v>29</v>
      </c>
      <c r="AJ183">
        <f t="shared" si="9"/>
        <v>2</v>
      </c>
    </row>
    <row r="184" spans="1:36" ht="15">
      <c r="A184" s="177"/>
      <c r="B184">
        <v>21</v>
      </c>
      <c r="C184">
        <v>0</v>
      </c>
      <c r="D184">
        <v>0</v>
      </c>
      <c r="E184">
        <v>1</v>
      </c>
      <c r="F184">
        <v>0</v>
      </c>
      <c r="G184">
        <v>0</v>
      </c>
      <c r="H184">
        <v>0</v>
      </c>
      <c r="I184">
        <v>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f t="shared" si="7"/>
        <v>9</v>
      </c>
      <c r="AI184">
        <f t="shared" si="8"/>
        <v>29</v>
      </c>
      <c r="AJ184">
        <f t="shared" si="9"/>
        <v>2</v>
      </c>
    </row>
    <row r="185" spans="1:36" ht="15">
      <c r="A185" s="177"/>
      <c r="B185">
        <v>22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5</v>
      </c>
      <c r="AH185">
        <f t="shared" si="7"/>
        <v>6</v>
      </c>
      <c r="AI185">
        <f t="shared" si="8"/>
        <v>29</v>
      </c>
      <c r="AJ185">
        <f t="shared" si="9"/>
        <v>2</v>
      </c>
    </row>
    <row r="186" spans="1:36" ht="15">
      <c r="A186" s="177"/>
      <c r="B186">
        <v>23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f t="shared" si="7"/>
        <v>1</v>
      </c>
      <c r="AI186">
        <f t="shared" si="8"/>
        <v>30</v>
      </c>
      <c r="AJ186">
        <f t="shared" si="9"/>
        <v>1</v>
      </c>
    </row>
    <row r="187" spans="1:36" ht="15">
      <c r="A187" s="177"/>
      <c r="B187">
        <v>24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f t="shared" si="7"/>
        <v>0</v>
      </c>
      <c r="AI187">
        <f t="shared" si="8"/>
        <v>31</v>
      </c>
      <c r="AJ187">
        <f t="shared" si="9"/>
        <v>0</v>
      </c>
    </row>
    <row r="188" spans="1:36" ht="15">
      <c r="A188" s="177"/>
      <c r="B188">
        <v>25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3</v>
      </c>
      <c r="AH188">
        <f t="shared" si="7"/>
        <v>3</v>
      </c>
      <c r="AI188">
        <f t="shared" si="8"/>
        <v>30</v>
      </c>
      <c r="AJ188">
        <f t="shared" si="9"/>
        <v>1</v>
      </c>
    </row>
    <row r="189" spans="1:36" ht="15">
      <c r="A189" s="177"/>
      <c r="B189">
        <v>26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f t="shared" si="7"/>
        <v>0</v>
      </c>
      <c r="AI189">
        <f t="shared" si="8"/>
        <v>31</v>
      </c>
      <c r="AJ189">
        <f t="shared" si="9"/>
        <v>0</v>
      </c>
    </row>
    <row r="190" spans="1:36" ht="15">
      <c r="A190" s="177"/>
      <c r="B190">
        <v>27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f t="shared" si="7"/>
        <v>0</v>
      </c>
      <c r="AI190">
        <f t="shared" si="8"/>
        <v>31</v>
      </c>
      <c r="AJ190">
        <f t="shared" si="9"/>
        <v>0</v>
      </c>
    </row>
    <row r="191" spans="1:36" ht="15">
      <c r="A191" s="177"/>
      <c r="B191">
        <v>28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f t="shared" si="7"/>
        <v>0</v>
      </c>
      <c r="AI191">
        <f t="shared" si="8"/>
        <v>31</v>
      </c>
      <c r="AJ191">
        <f t="shared" si="9"/>
        <v>0</v>
      </c>
    </row>
    <row r="192" spans="1:36" ht="15">
      <c r="A192" s="177"/>
      <c r="B192">
        <v>29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f t="shared" si="7"/>
        <v>0</v>
      </c>
      <c r="AI192">
        <f t="shared" si="8"/>
        <v>31</v>
      </c>
      <c r="AJ192">
        <f t="shared" si="9"/>
        <v>0</v>
      </c>
    </row>
    <row r="193" spans="1:36" ht="15">
      <c r="A193" s="177"/>
      <c r="B193">
        <v>30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f t="shared" si="7"/>
        <v>0</v>
      </c>
      <c r="AI193">
        <f t="shared" si="8"/>
        <v>31</v>
      </c>
      <c r="AJ193">
        <f t="shared" si="9"/>
        <v>0</v>
      </c>
    </row>
    <row r="194" spans="1:36" ht="15">
      <c r="A194" s="177"/>
      <c r="B194">
        <v>31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f t="shared" si="7"/>
        <v>0</v>
      </c>
      <c r="AI194">
        <f t="shared" si="8"/>
        <v>31</v>
      </c>
      <c r="AJ194">
        <f t="shared" si="9"/>
        <v>0</v>
      </c>
    </row>
    <row r="195" spans="1:36" ht="15">
      <c r="A195" s="177"/>
      <c r="B195">
        <v>32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f aca="true" t="shared" si="11" ref="AH195:AH258">SUM(C195:AG195)</f>
        <v>0</v>
      </c>
      <c r="AI195">
        <f aca="true" t="shared" si="12" ref="AI195:AI258">COUNTIF(C195:AG195,0)</f>
        <v>31</v>
      </c>
      <c r="AJ195">
        <f aca="true" t="shared" si="13" ref="AJ195:AJ258">31-AI195</f>
        <v>0</v>
      </c>
    </row>
    <row r="196" spans="1:36" ht="15">
      <c r="A196" s="177"/>
      <c r="B196">
        <v>33</v>
      </c>
      <c r="C196">
        <v>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3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f t="shared" si="11"/>
        <v>4</v>
      </c>
      <c r="AI196">
        <f t="shared" si="12"/>
        <v>29</v>
      </c>
      <c r="AJ196">
        <f t="shared" si="13"/>
        <v>2</v>
      </c>
    </row>
    <row r="197" spans="1:36" ht="15">
      <c r="A197" s="177"/>
      <c r="B197">
        <v>34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f t="shared" si="11"/>
        <v>0</v>
      </c>
      <c r="AI197">
        <f t="shared" si="12"/>
        <v>31</v>
      </c>
      <c r="AJ197">
        <f t="shared" si="13"/>
        <v>0</v>
      </c>
    </row>
    <row r="198" spans="1:36" ht="15">
      <c r="A198" s="177"/>
      <c r="B198">
        <v>35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f t="shared" si="11"/>
        <v>0</v>
      </c>
      <c r="AI198">
        <f t="shared" si="12"/>
        <v>31</v>
      </c>
      <c r="AJ198">
        <f t="shared" si="13"/>
        <v>0</v>
      </c>
    </row>
    <row r="199" spans="1:36" ht="15">
      <c r="A199" s="177"/>
      <c r="B199">
        <v>36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f t="shared" si="11"/>
        <v>1</v>
      </c>
      <c r="AI199">
        <f t="shared" si="12"/>
        <v>30</v>
      </c>
      <c r="AJ199">
        <f t="shared" si="13"/>
        <v>1</v>
      </c>
    </row>
    <row r="200" spans="1:36" ht="15">
      <c r="A200" s="177"/>
      <c r="B200">
        <v>37</v>
      </c>
      <c r="C200">
        <v>0</v>
      </c>
      <c r="D200">
        <v>0</v>
      </c>
      <c r="E200">
        <v>3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f t="shared" si="11"/>
        <v>3</v>
      </c>
      <c r="AI200">
        <f t="shared" si="12"/>
        <v>30</v>
      </c>
      <c r="AJ200">
        <f t="shared" si="13"/>
        <v>1</v>
      </c>
    </row>
    <row r="201" spans="1:36" ht="15">
      <c r="A201" s="177"/>
      <c r="B201">
        <v>38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f t="shared" si="11"/>
        <v>0</v>
      </c>
      <c r="AI201">
        <f t="shared" si="12"/>
        <v>31</v>
      </c>
      <c r="AJ201">
        <f t="shared" si="13"/>
        <v>0</v>
      </c>
    </row>
    <row r="202" spans="1:36" ht="15">
      <c r="A202" s="177"/>
      <c r="B202">
        <v>39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3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1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f t="shared" si="11"/>
        <v>5</v>
      </c>
      <c r="AI202">
        <f t="shared" si="12"/>
        <v>28</v>
      </c>
      <c r="AJ202">
        <f t="shared" si="13"/>
        <v>3</v>
      </c>
    </row>
    <row r="203" spans="1:36" ht="15">
      <c r="A203" s="177"/>
      <c r="B203">
        <v>40</v>
      </c>
      <c r="C203">
        <v>0</v>
      </c>
      <c r="D203">
        <v>0</v>
      </c>
      <c r="E203">
        <v>0</v>
      </c>
      <c r="F203">
        <v>0</v>
      </c>
      <c r="G203">
        <v>6</v>
      </c>
      <c r="H203">
        <v>0</v>
      </c>
      <c r="I203">
        <v>2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f t="shared" si="11"/>
        <v>8</v>
      </c>
      <c r="AI203">
        <f t="shared" si="12"/>
        <v>29</v>
      </c>
      <c r="AJ203">
        <f t="shared" si="13"/>
        <v>2</v>
      </c>
    </row>
    <row r="204" spans="1:36" ht="15">
      <c r="A204" s="177"/>
      <c r="B204">
        <v>41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9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f t="shared" si="11"/>
        <v>9</v>
      </c>
      <c r="AI204">
        <f t="shared" si="12"/>
        <v>30</v>
      </c>
      <c r="AJ204">
        <f t="shared" si="13"/>
        <v>1</v>
      </c>
    </row>
    <row r="205" spans="1:36" ht="15">
      <c r="A205" s="177"/>
      <c r="B205">
        <v>42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f t="shared" si="11"/>
        <v>3</v>
      </c>
      <c r="AI205">
        <f t="shared" si="12"/>
        <v>30</v>
      </c>
      <c r="AJ205">
        <f t="shared" si="13"/>
        <v>1</v>
      </c>
    </row>
    <row r="206" spans="1:36" ht="15">
      <c r="A206" s="177"/>
      <c r="B206">
        <v>43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7</v>
      </c>
      <c r="N206">
        <v>0</v>
      </c>
      <c r="O206">
        <v>0</v>
      </c>
      <c r="P206">
        <v>5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f t="shared" si="11"/>
        <v>12</v>
      </c>
      <c r="AI206">
        <f t="shared" si="12"/>
        <v>29</v>
      </c>
      <c r="AJ206">
        <f t="shared" si="13"/>
        <v>2</v>
      </c>
    </row>
    <row r="207" spans="1:36" ht="15">
      <c r="A207" s="177"/>
      <c r="B207">
        <v>44</v>
      </c>
      <c r="C207">
        <v>0</v>
      </c>
      <c r="D207">
        <v>0</v>
      </c>
      <c r="E207">
        <v>3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2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f t="shared" si="11"/>
        <v>5</v>
      </c>
      <c r="AI207">
        <f t="shared" si="12"/>
        <v>29</v>
      </c>
      <c r="AJ207">
        <f t="shared" si="13"/>
        <v>2</v>
      </c>
    </row>
    <row r="208" spans="1:36" ht="15">
      <c r="A208" s="177"/>
      <c r="B208">
        <v>45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f t="shared" si="11"/>
        <v>0</v>
      </c>
      <c r="AI208">
        <f t="shared" si="12"/>
        <v>31</v>
      </c>
      <c r="AJ208">
        <f t="shared" si="13"/>
        <v>0</v>
      </c>
    </row>
    <row r="209" spans="1:36" ht="15">
      <c r="A209" s="177"/>
      <c r="B209">
        <v>46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f t="shared" si="11"/>
        <v>3</v>
      </c>
      <c r="AI209">
        <f t="shared" si="12"/>
        <v>29</v>
      </c>
      <c r="AJ209">
        <f t="shared" si="13"/>
        <v>2</v>
      </c>
    </row>
    <row r="210" spans="1:36" ht="15">
      <c r="A210" s="177"/>
      <c r="B210">
        <v>47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f t="shared" si="11"/>
        <v>0</v>
      </c>
      <c r="AI210">
        <f t="shared" si="12"/>
        <v>31</v>
      </c>
      <c r="AJ210">
        <f t="shared" si="13"/>
        <v>0</v>
      </c>
    </row>
    <row r="211" spans="1:36" ht="15">
      <c r="A211" s="177"/>
      <c r="B211">
        <v>48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2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f t="shared" si="11"/>
        <v>5</v>
      </c>
      <c r="AI211">
        <f t="shared" si="12"/>
        <v>29</v>
      </c>
      <c r="AJ211">
        <f t="shared" si="13"/>
        <v>2</v>
      </c>
    </row>
    <row r="212" spans="1:36" ht="15">
      <c r="A212" s="177"/>
      <c r="B212">
        <v>49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f t="shared" si="11"/>
        <v>1</v>
      </c>
      <c r="AI212">
        <f t="shared" si="12"/>
        <v>30</v>
      </c>
      <c r="AJ212">
        <f t="shared" si="13"/>
        <v>1</v>
      </c>
    </row>
    <row r="213" spans="1:36" ht="15">
      <c r="A213" s="177"/>
      <c r="B213">
        <v>50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f t="shared" si="11"/>
        <v>0</v>
      </c>
      <c r="AI213">
        <f t="shared" si="12"/>
        <v>31</v>
      </c>
      <c r="AJ213">
        <f t="shared" si="13"/>
        <v>0</v>
      </c>
    </row>
    <row r="214" spans="1:36" ht="15">
      <c r="A214" s="177"/>
      <c r="B214">
        <v>51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f t="shared" si="11"/>
        <v>0</v>
      </c>
      <c r="AI214">
        <f t="shared" si="12"/>
        <v>31</v>
      </c>
      <c r="AJ214">
        <f t="shared" si="13"/>
        <v>0</v>
      </c>
    </row>
    <row r="215" spans="1:36" ht="15">
      <c r="A215" s="177"/>
      <c r="B215">
        <v>52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f t="shared" si="11"/>
        <v>0</v>
      </c>
      <c r="AI215">
        <f t="shared" si="12"/>
        <v>31</v>
      </c>
      <c r="AJ215">
        <f t="shared" si="13"/>
        <v>0</v>
      </c>
    </row>
    <row r="216" spans="1:36" ht="15">
      <c r="A216" s="177"/>
      <c r="B216">
        <v>53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f t="shared" si="11"/>
        <v>3</v>
      </c>
      <c r="AI216">
        <f t="shared" si="12"/>
        <v>29</v>
      </c>
      <c r="AJ216">
        <f t="shared" si="13"/>
        <v>2</v>
      </c>
    </row>
    <row r="217" spans="1:36" ht="15">
      <c r="A217" s="177"/>
      <c r="B217">
        <v>54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2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1</v>
      </c>
      <c r="AD217">
        <v>0</v>
      </c>
      <c r="AE217">
        <v>0</v>
      </c>
      <c r="AF217">
        <v>0</v>
      </c>
      <c r="AG217">
        <v>0</v>
      </c>
      <c r="AH217">
        <f t="shared" si="11"/>
        <v>3</v>
      </c>
      <c r="AI217">
        <f t="shared" si="12"/>
        <v>29</v>
      </c>
      <c r="AJ217">
        <f t="shared" si="13"/>
        <v>2</v>
      </c>
    </row>
    <row r="218" spans="1:36" ht="15">
      <c r="A218" s="177"/>
      <c r="B218">
        <v>55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4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f t="shared" si="11"/>
        <v>5</v>
      </c>
      <c r="AI218">
        <f t="shared" si="12"/>
        <v>29</v>
      </c>
      <c r="AJ218">
        <f t="shared" si="13"/>
        <v>2</v>
      </c>
    </row>
    <row r="219" spans="1:36" ht="15">
      <c r="A219" s="177"/>
      <c r="B219">
        <v>56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f t="shared" si="11"/>
        <v>1</v>
      </c>
      <c r="AI219">
        <f t="shared" si="12"/>
        <v>30</v>
      </c>
      <c r="AJ219">
        <f t="shared" si="13"/>
        <v>1</v>
      </c>
    </row>
    <row r="220" spans="1:36" ht="15">
      <c r="A220" s="177"/>
      <c r="B220">
        <v>57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f t="shared" si="11"/>
        <v>0</v>
      </c>
      <c r="AI220">
        <f t="shared" si="12"/>
        <v>31</v>
      </c>
      <c r="AJ220">
        <f t="shared" si="13"/>
        <v>0</v>
      </c>
    </row>
    <row r="221" spans="1:36" ht="15">
      <c r="A221" s="177"/>
      <c r="B221">
        <v>58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f t="shared" si="11"/>
        <v>0</v>
      </c>
      <c r="AI221">
        <f t="shared" si="12"/>
        <v>31</v>
      </c>
      <c r="AJ221">
        <f t="shared" si="13"/>
        <v>0</v>
      </c>
    </row>
    <row r="222" spans="1:36" ht="15">
      <c r="A222" s="177"/>
      <c r="B222">
        <v>59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1</v>
      </c>
      <c r="Y222">
        <v>0</v>
      </c>
      <c r="Z222">
        <v>0</v>
      </c>
      <c r="AA222">
        <v>0</v>
      </c>
      <c r="AB222">
        <v>0</v>
      </c>
      <c r="AC222">
        <v>3</v>
      </c>
      <c r="AD222">
        <v>0</v>
      </c>
      <c r="AE222">
        <v>0</v>
      </c>
      <c r="AF222">
        <v>0</v>
      </c>
      <c r="AG222">
        <v>0</v>
      </c>
      <c r="AH222">
        <f t="shared" si="11"/>
        <v>4</v>
      </c>
      <c r="AI222">
        <f t="shared" si="12"/>
        <v>29</v>
      </c>
      <c r="AJ222">
        <f t="shared" si="13"/>
        <v>2</v>
      </c>
    </row>
    <row r="223" spans="1:36" ht="15">
      <c r="A223" s="177"/>
      <c r="B223">
        <v>60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f t="shared" si="11"/>
        <v>0</v>
      </c>
      <c r="AI223">
        <f t="shared" si="12"/>
        <v>31</v>
      </c>
      <c r="AJ223">
        <f t="shared" si="13"/>
        <v>0</v>
      </c>
    </row>
    <row r="224" spans="1:36" ht="15">
      <c r="A224" s="177"/>
      <c r="B224">
        <v>61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2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f t="shared" si="11"/>
        <v>2</v>
      </c>
      <c r="AI224">
        <f t="shared" si="12"/>
        <v>30</v>
      </c>
      <c r="AJ224">
        <f t="shared" si="13"/>
        <v>1</v>
      </c>
    </row>
    <row r="225" spans="1:36" ht="15">
      <c r="A225" s="177"/>
      <c r="B225">
        <v>62</v>
      </c>
      <c r="C225">
        <v>2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1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f t="shared" si="11"/>
        <v>3</v>
      </c>
      <c r="AI225">
        <f t="shared" si="12"/>
        <v>29</v>
      </c>
      <c r="AJ225">
        <f t="shared" si="13"/>
        <v>2</v>
      </c>
    </row>
    <row r="226" spans="1:36" ht="15">
      <c r="A226" s="177"/>
      <c r="B226">
        <v>63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0</v>
      </c>
      <c r="O226">
        <v>1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f t="shared" si="11"/>
        <v>2</v>
      </c>
      <c r="AI226">
        <f t="shared" si="12"/>
        <v>29</v>
      </c>
      <c r="AJ226">
        <f t="shared" si="13"/>
        <v>2</v>
      </c>
    </row>
    <row r="227" spans="1:36" ht="15">
      <c r="A227" s="177"/>
      <c r="B227">
        <v>64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1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f t="shared" si="11"/>
        <v>1</v>
      </c>
      <c r="AI227">
        <f t="shared" si="12"/>
        <v>30</v>
      </c>
      <c r="AJ227">
        <f t="shared" si="13"/>
        <v>1</v>
      </c>
    </row>
    <row r="228" spans="1:36" ht="15">
      <c r="A228" s="177"/>
      <c r="B228">
        <v>65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2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f t="shared" si="11"/>
        <v>2</v>
      </c>
      <c r="AI228">
        <f t="shared" si="12"/>
        <v>30</v>
      </c>
      <c r="AJ228">
        <f t="shared" si="13"/>
        <v>1</v>
      </c>
    </row>
    <row r="229" spans="1:36" ht="15">
      <c r="A229" s="177"/>
      <c r="B229">
        <v>66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f t="shared" si="11"/>
        <v>1</v>
      </c>
      <c r="AI229">
        <f t="shared" si="12"/>
        <v>30</v>
      </c>
      <c r="AJ229">
        <f t="shared" si="13"/>
        <v>1</v>
      </c>
    </row>
    <row r="230" spans="1:36" ht="15">
      <c r="A230" s="177"/>
      <c r="B230">
        <v>67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f t="shared" si="11"/>
        <v>1</v>
      </c>
      <c r="AI230">
        <f t="shared" si="12"/>
        <v>30</v>
      </c>
      <c r="AJ230">
        <f t="shared" si="13"/>
        <v>1</v>
      </c>
    </row>
    <row r="231" spans="1:36" ht="15">
      <c r="A231" s="177"/>
      <c r="B231">
        <v>68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2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f t="shared" si="11"/>
        <v>2</v>
      </c>
      <c r="AI231">
        <f t="shared" si="12"/>
        <v>30</v>
      </c>
      <c r="AJ231">
        <f t="shared" si="13"/>
        <v>1</v>
      </c>
    </row>
    <row r="232" spans="1:36" ht="15">
      <c r="A232" s="177"/>
      <c r="B232">
        <v>69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2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f t="shared" si="11"/>
        <v>2</v>
      </c>
      <c r="AI232">
        <f t="shared" si="12"/>
        <v>30</v>
      </c>
      <c r="AJ232">
        <f t="shared" si="13"/>
        <v>1</v>
      </c>
    </row>
    <row r="233" spans="1:36" ht="15">
      <c r="A233" s="177"/>
      <c r="B233">
        <v>70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1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f t="shared" si="11"/>
        <v>1</v>
      </c>
      <c r="AI233">
        <f t="shared" si="12"/>
        <v>30</v>
      </c>
      <c r="AJ233">
        <f t="shared" si="13"/>
        <v>1</v>
      </c>
    </row>
    <row r="234" spans="1:36" ht="15">
      <c r="A234" s="177"/>
      <c r="B234">
        <v>71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2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f t="shared" si="11"/>
        <v>2</v>
      </c>
      <c r="AI234">
        <f t="shared" si="12"/>
        <v>30</v>
      </c>
      <c r="AJ234">
        <f t="shared" si="13"/>
        <v>1</v>
      </c>
    </row>
    <row r="235" spans="1:36" ht="15">
      <c r="A235" s="177"/>
      <c r="B235">
        <v>72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f t="shared" si="11"/>
        <v>0</v>
      </c>
      <c r="AI235">
        <f t="shared" si="12"/>
        <v>31</v>
      </c>
      <c r="AJ235">
        <f t="shared" si="13"/>
        <v>0</v>
      </c>
    </row>
    <row r="236" spans="1:36" ht="15">
      <c r="A236" s="177"/>
      <c r="B236">
        <v>73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f t="shared" si="11"/>
        <v>0</v>
      </c>
      <c r="AI236">
        <f t="shared" si="12"/>
        <v>31</v>
      </c>
      <c r="AJ236">
        <f t="shared" si="13"/>
        <v>0</v>
      </c>
    </row>
    <row r="237" spans="1:36" ht="15">
      <c r="A237" s="177"/>
      <c r="B237">
        <v>74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f t="shared" si="11"/>
        <v>0</v>
      </c>
      <c r="AI237">
        <f t="shared" si="12"/>
        <v>31</v>
      </c>
      <c r="AJ237">
        <f t="shared" si="13"/>
        <v>0</v>
      </c>
    </row>
    <row r="238" spans="1:36" ht="15">
      <c r="A238" s="177"/>
      <c r="B238">
        <v>75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f t="shared" si="11"/>
        <v>0</v>
      </c>
      <c r="AI238">
        <f t="shared" si="12"/>
        <v>31</v>
      </c>
      <c r="AJ238">
        <f t="shared" si="13"/>
        <v>0</v>
      </c>
    </row>
    <row r="239" spans="1:36" ht="15">
      <c r="A239" s="177"/>
      <c r="B239">
        <v>76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f t="shared" si="11"/>
        <v>0</v>
      </c>
      <c r="AI239">
        <f t="shared" si="12"/>
        <v>31</v>
      </c>
      <c r="AJ239">
        <f t="shared" si="13"/>
        <v>0</v>
      </c>
    </row>
    <row r="240" spans="1:36" ht="15">
      <c r="A240" s="177"/>
      <c r="B240">
        <v>77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f t="shared" si="11"/>
        <v>0</v>
      </c>
      <c r="AI240">
        <f t="shared" si="12"/>
        <v>31</v>
      </c>
      <c r="AJ240">
        <f t="shared" si="13"/>
        <v>0</v>
      </c>
    </row>
    <row r="241" spans="1:36" ht="15">
      <c r="A241" s="177"/>
      <c r="B241">
        <v>78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2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f t="shared" si="11"/>
        <v>2</v>
      </c>
      <c r="AI241">
        <f t="shared" si="12"/>
        <v>30</v>
      </c>
      <c r="AJ241">
        <f t="shared" si="13"/>
        <v>1</v>
      </c>
    </row>
    <row r="242" spans="1:36" ht="15">
      <c r="A242" s="177"/>
      <c r="B242">
        <v>79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f t="shared" si="11"/>
        <v>0</v>
      </c>
      <c r="AI242">
        <f t="shared" si="12"/>
        <v>31</v>
      </c>
      <c r="AJ242">
        <f t="shared" si="13"/>
        <v>0</v>
      </c>
    </row>
    <row r="243" spans="1:36" ht="15">
      <c r="A243" s="177"/>
      <c r="B243">
        <v>80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f t="shared" si="11"/>
        <v>0</v>
      </c>
      <c r="AI243">
        <f t="shared" si="12"/>
        <v>31</v>
      </c>
      <c r="AJ243">
        <f t="shared" si="13"/>
        <v>0</v>
      </c>
    </row>
    <row r="244" spans="3:36" s="108" customFormat="1" ht="15">
      <c r="C244" s="108">
        <f>SUM(C164:C243)</f>
        <v>3</v>
      </c>
      <c r="D244" s="108">
        <f aca="true" t="shared" si="14" ref="D244:AG244">SUM(D164:D243)</f>
        <v>0</v>
      </c>
      <c r="E244" s="108">
        <f t="shared" si="14"/>
        <v>7</v>
      </c>
      <c r="F244" s="108">
        <f t="shared" si="14"/>
        <v>10</v>
      </c>
      <c r="G244" s="108">
        <f t="shared" si="14"/>
        <v>13</v>
      </c>
      <c r="H244" s="108">
        <f t="shared" si="14"/>
        <v>13</v>
      </c>
      <c r="I244" s="108">
        <f t="shared" si="14"/>
        <v>21</v>
      </c>
      <c r="J244" s="108">
        <f t="shared" si="14"/>
        <v>0</v>
      </c>
      <c r="K244" s="108">
        <f t="shared" si="14"/>
        <v>29</v>
      </c>
      <c r="L244" s="108">
        <f t="shared" si="14"/>
        <v>0</v>
      </c>
      <c r="M244" s="108">
        <f t="shared" si="14"/>
        <v>19</v>
      </c>
      <c r="N244" s="108">
        <f t="shared" si="14"/>
        <v>7</v>
      </c>
      <c r="O244" s="108">
        <f t="shared" si="14"/>
        <v>11</v>
      </c>
      <c r="P244" s="108">
        <f t="shared" si="14"/>
        <v>19</v>
      </c>
      <c r="Q244" s="108">
        <f t="shared" si="14"/>
        <v>0</v>
      </c>
      <c r="R244" s="108">
        <f t="shared" si="14"/>
        <v>0</v>
      </c>
      <c r="S244" s="108">
        <f t="shared" si="14"/>
        <v>0</v>
      </c>
      <c r="T244" s="108">
        <f t="shared" si="14"/>
        <v>0</v>
      </c>
      <c r="U244" s="108">
        <f t="shared" si="14"/>
        <v>0</v>
      </c>
      <c r="V244" s="108">
        <f t="shared" si="14"/>
        <v>0</v>
      </c>
      <c r="W244" s="108">
        <f t="shared" si="14"/>
        <v>2</v>
      </c>
      <c r="X244" s="108">
        <f t="shared" si="14"/>
        <v>16</v>
      </c>
      <c r="Y244" s="108">
        <f t="shared" si="14"/>
        <v>0</v>
      </c>
      <c r="Z244" s="108">
        <f t="shared" si="14"/>
        <v>0</v>
      </c>
      <c r="AA244" s="108">
        <f t="shared" si="14"/>
        <v>0</v>
      </c>
      <c r="AB244" s="108">
        <f t="shared" si="14"/>
        <v>4</v>
      </c>
      <c r="AC244" s="108">
        <f t="shared" si="14"/>
        <v>5</v>
      </c>
      <c r="AD244" s="108">
        <f t="shared" si="14"/>
        <v>0</v>
      </c>
      <c r="AE244" s="108">
        <f t="shared" si="14"/>
        <v>0</v>
      </c>
      <c r="AF244" s="108">
        <f t="shared" si="14"/>
        <v>12</v>
      </c>
      <c r="AG244" s="108">
        <f t="shared" si="14"/>
        <v>9</v>
      </c>
      <c r="AH244" s="108">
        <f t="shared" si="11"/>
        <v>200</v>
      </c>
      <c r="AI244" s="108">
        <f t="shared" si="12"/>
        <v>14</v>
      </c>
      <c r="AJ244" s="108">
        <f t="shared" si="13"/>
        <v>17</v>
      </c>
    </row>
    <row r="245" spans="1:36" ht="15">
      <c r="A245" s="177">
        <v>4</v>
      </c>
      <c r="B245">
        <v>1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f t="shared" si="11"/>
        <v>1</v>
      </c>
      <c r="AI245">
        <f t="shared" si="12"/>
        <v>30</v>
      </c>
      <c r="AJ245">
        <f t="shared" si="13"/>
        <v>1</v>
      </c>
    </row>
    <row r="246" spans="1:36" ht="15">
      <c r="A246" s="177"/>
      <c r="B246">
        <v>2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f t="shared" si="11"/>
        <v>0</v>
      </c>
      <c r="AI246">
        <f t="shared" si="12"/>
        <v>31</v>
      </c>
      <c r="AJ246">
        <f t="shared" si="13"/>
        <v>0</v>
      </c>
    </row>
    <row r="247" spans="1:36" ht="15">
      <c r="A247" s="177"/>
      <c r="B247">
        <v>3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f t="shared" si="11"/>
        <v>0</v>
      </c>
      <c r="AI247">
        <f t="shared" si="12"/>
        <v>31</v>
      </c>
      <c r="AJ247">
        <f t="shared" si="13"/>
        <v>0</v>
      </c>
    </row>
    <row r="248" spans="1:36" ht="15">
      <c r="A248" s="177"/>
      <c r="B248">
        <v>4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f t="shared" si="11"/>
        <v>0</v>
      </c>
      <c r="AI248">
        <f t="shared" si="12"/>
        <v>31</v>
      </c>
      <c r="AJ248">
        <f t="shared" si="13"/>
        <v>0</v>
      </c>
    </row>
    <row r="249" spans="1:36" ht="15">
      <c r="A249" s="177"/>
      <c r="B249">
        <v>5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f t="shared" si="11"/>
        <v>0</v>
      </c>
      <c r="AI249">
        <f t="shared" si="12"/>
        <v>31</v>
      </c>
      <c r="AJ249">
        <f t="shared" si="13"/>
        <v>0</v>
      </c>
    </row>
    <row r="250" spans="1:36" ht="15">
      <c r="A250" s="177"/>
      <c r="B250">
        <v>6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f t="shared" si="11"/>
        <v>0</v>
      </c>
      <c r="AI250">
        <f t="shared" si="12"/>
        <v>31</v>
      </c>
      <c r="AJ250">
        <f t="shared" si="13"/>
        <v>0</v>
      </c>
    </row>
    <row r="251" spans="1:36" ht="15">
      <c r="A251" s="177"/>
      <c r="B251">
        <v>7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f t="shared" si="11"/>
        <v>0</v>
      </c>
      <c r="AI251">
        <f t="shared" si="12"/>
        <v>31</v>
      </c>
      <c r="AJ251">
        <f t="shared" si="13"/>
        <v>0</v>
      </c>
    </row>
    <row r="252" spans="1:36" ht="15">
      <c r="A252" s="177"/>
      <c r="B252">
        <v>8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f t="shared" si="11"/>
        <v>0</v>
      </c>
      <c r="AI252">
        <f t="shared" si="12"/>
        <v>31</v>
      </c>
      <c r="AJ252">
        <f t="shared" si="13"/>
        <v>0</v>
      </c>
    </row>
    <row r="253" spans="1:36" ht="15">
      <c r="A253" s="177"/>
      <c r="B253">
        <v>9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f t="shared" si="11"/>
        <v>0</v>
      </c>
      <c r="AI253">
        <f t="shared" si="12"/>
        <v>31</v>
      </c>
      <c r="AJ253">
        <f t="shared" si="13"/>
        <v>0</v>
      </c>
    </row>
    <row r="254" spans="1:36" ht="15">
      <c r="A254" s="177"/>
      <c r="B254">
        <v>10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f t="shared" si="11"/>
        <v>0</v>
      </c>
      <c r="AI254">
        <f t="shared" si="12"/>
        <v>31</v>
      </c>
      <c r="AJ254">
        <f t="shared" si="13"/>
        <v>0</v>
      </c>
    </row>
    <row r="255" spans="1:36" ht="15">
      <c r="A255" s="177"/>
      <c r="B255">
        <v>11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f t="shared" si="11"/>
        <v>0</v>
      </c>
      <c r="AI255">
        <f t="shared" si="12"/>
        <v>31</v>
      </c>
      <c r="AJ255">
        <f t="shared" si="13"/>
        <v>0</v>
      </c>
    </row>
    <row r="256" spans="1:36" ht="15">
      <c r="A256" s="177"/>
      <c r="B256">
        <v>12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f t="shared" si="11"/>
        <v>0</v>
      </c>
      <c r="AI256">
        <f t="shared" si="12"/>
        <v>31</v>
      </c>
      <c r="AJ256">
        <f t="shared" si="13"/>
        <v>0</v>
      </c>
    </row>
    <row r="257" spans="1:36" ht="15">
      <c r="A257" s="177"/>
      <c r="B257">
        <v>13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2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f t="shared" si="11"/>
        <v>2</v>
      </c>
      <c r="AI257">
        <f t="shared" si="12"/>
        <v>30</v>
      </c>
      <c r="AJ257">
        <f t="shared" si="13"/>
        <v>1</v>
      </c>
    </row>
    <row r="258" spans="1:36" ht="15">
      <c r="A258" s="177"/>
      <c r="B258">
        <v>14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f t="shared" si="11"/>
        <v>0</v>
      </c>
      <c r="AI258">
        <f t="shared" si="12"/>
        <v>31</v>
      </c>
      <c r="AJ258">
        <f t="shared" si="13"/>
        <v>0</v>
      </c>
    </row>
    <row r="259" spans="1:36" ht="15">
      <c r="A259" s="177"/>
      <c r="B259">
        <v>15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f aca="true" t="shared" si="15" ref="AH259:AH322">SUM(C259:AG259)</f>
        <v>0</v>
      </c>
      <c r="AI259">
        <f aca="true" t="shared" si="16" ref="AI259:AI322">COUNTIF(C259:AG259,0)</f>
        <v>31</v>
      </c>
      <c r="AJ259">
        <f aca="true" t="shared" si="17" ref="AJ259:AJ322">31-AI259</f>
        <v>0</v>
      </c>
    </row>
    <row r="260" spans="1:36" ht="15">
      <c r="A260" s="177"/>
      <c r="B260">
        <v>16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f t="shared" si="15"/>
        <v>0</v>
      </c>
      <c r="AI260">
        <f t="shared" si="16"/>
        <v>31</v>
      </c>
      <c r="AJ260">
        <f t="shared" si="17"/>
        <v>0</v>
      </c>
    </row>
    <row r="261" spans="1:36" ht="15">
      <c r="A261" s="177"/>
      <c r="B261">
        <v>17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f t="shared" si="15"/>
        <v>0</v>
      </c>
      <c r="AI261">
        <f t="shared" si="16"/>
        <v>31</v>
      </c>
      <c r="AJ261">
        <f t="shared" si="17"/>
        <v>0</v>
      </c>
    </row>
    <row r="262" spans="1:36" ht="15">
      <c r="A262" s="177"/>
      <c r="B262">
        <v>18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f t="shared" si="15"/>
        <v>0</v>
      </c>
      <c r="AI262">
        <f t="shared" si="16"/>
        <v>31</v>
      </c>
      <c r="AJ262">
        <f t="shared" si="17"/>
        <v>0</v>
      </c>
    </row>
    <row r="263" spans="1:36" ht="15">
      <c r="A263" s="177"/>
      <c r="B263">
        <v>19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f t="shared" si="15"/>
        <v>0</v>
      </c>
      <c r="AI263">
        <f t="shared" si="16"/>
        <v>31</v>
      </c>
      <c r="AJ263">
        <f t="shared" si="17"/>
        <v>0</v>
      </c>
    </row>
    <row r="264" spans="1:36" ht="15">
      <c r="A264" s="177"/>
      <c r="B264">
        <v>20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f t="shared" si="15"/>
        <v>0</v>
      </c>
      <c r="AI264">
        <f t="shared" si="16"/>
        <v>31</v>
      </c>
      <c r="AJ264">
        <f t="shared" si="17"/>
        <v>0</v>
      </c>
    </row>
    <row r="265" spans="1:36" ht="15">
      <c r="A265" s="177"/>
      <c r="B265">
        <v>21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f t="shared" si="15"/>
        <v>0</v>
      </c>
      <c r="AI265">
        <f t="shared" si="16"/>
        <v>31</v>
      </c>
      <c r="AJ265">
        <f t="shared" si="17"/>
        <v>0</v>
      </c>
    </row>
    <row r="266" spans="1:36" ht="15">
      <c r="A266" s="177"/>
      <c r="B266">
        <v>22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f t="shared" si="15"/>
        <v>0</v>
      </c>
      <c r="AI266">
        <f t="shared" si="16"/>
        <v>31</v>
      </c>
      <c r="AJ266">
        <f t="shared" si="17"/>
        <v>0</v>
      </c>
    </row>
    <row r="267" spans="1:36" ht="15">
      <c r="A267" s="177"/>
      <c r="B267">
        <v>23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f t="shared" si="15"/>
        <v>0</v>
      </c>
      <c r="AI267">
        <f t="shared" si="16"/>
        <v>31</v>
      </c>
      <c r="AJ267">
        <f t="shared" si="17"/>
        <v>0</v>
      </c>
    </row>
    <row r="268" spans="1:36" ht="15">
      <c r="A268" s="177"/>
      <c r="B268">
        <v>24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f t="shared" si="15"/>
        <v>0</v>
      </c>
      <c r="AI268">
        <f t="shared" si="16"/>
        <v>31</v>
      </c>
      <c r="AJ268">
        <f t="shared" si="17"/>
        <v>0</v>
      </c>
    </row>
    <row r="269" spans="1:36" ht="15">
      <c r="A269" s="177"/>
      <c r="B269">
        <v>25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f t="shared" si="15"/>
        <v>0</v>
      </c>
      <c r="AI269">
        <f t="shared" si="16"/>
        <v>31</v>
      </c>
      <c r="AJ269">
        <f t="shared" si="17"/>
        <v>0</v>
      </c>
    </row>
    <row r="270" spans="1:36" ht="15">
      <c r="A270" s="177"/>
      <c r="B270">
        <v>26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f t="shared" si="15"/>
        <v>0</v>
      </c>
      <c r="AI270">
        <f t="shared" si="16"/>
        <v>31</v>
      </c>
      <c r="AJ270">
        <f t="shared" si="17"/>
        <v>0</v>
      </c>
    </row>
    <row r="271" spans="1:36" ht="15">
      <c r="A271" s="177"/>
      <c r="B271">
        <v>27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f t="shared" si="15"/>
        <v>0</v>
      </c>
      <c r="AI271">
        <f t="shared" si="16"/>
        <v>31</v>
      </c>
      <c r="AJ271">
        <f t="shared" si="17"/>
        <v>0</v>
      </c>
    </row>
    <row r="272" spans="1:36" ht="15">
      <c r="A272" s="177"/>
      <c r="B272">
        <v>28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2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f t="shared" si="15"/>
        <v>2</v>
      </c>
      <c r="AI272">
        <f t="shared" si="16"/>
        <v>30</v>
      </c>
      <c r="AJ272">
        <f t="shared" si="17"/>
        <v>1</v>
      </c>
    </row>
    <row r="273" spans="1:36" ht="15">
      <c r="A273" s="177"/>
      <c r="B273">
        <v>29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f t="shared" si="15"/>
        <v>0</v>
      </c>
      <c r="AI273">
        <f t="shared" si="16"/>
        <v>31</v>
      </c>
      <c r="AJ273">
        <f t="shared" si="17"/>
        <v>0</v>
      </c>
    </row>
    <row r="274" spans="1:36" ht="15">
      <c r="A274" s="177"/>
      <c r="B274">
        <v>30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f t="shared" si="15"/>
        <v>0</v>
      </c>
      <c r="AI274">
        <f t="shared" si="16"/>
        <v>31</v>
      </c>
      <c r="AJ274">
        <f t="shared" si="17"/>
        <v>0</v>
      </c>
    </row>
    <row r="275" spans="1:36" ht="15">
      <c r="A275" s="177"/>
      <c r="B275">
        <v>31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f t="shared" si="15"/>
        <v>0</v>
      </c>
      <c r="AI275">
        <f t="shared" si="16"/>
        <v>31</v>
      </c>
      <c r="AJ275">
        <f t="shared" si="17"/>
        <v>0</v>
      </c>
    </row>
    <row r="276" spans="1:36" ht="15">
      <c r="A276" s="177"/>
      <c r="B276">
        <v>32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f t="shared" si="15"/>
        <v>0</v>
      </c>
      <c r="AI276">
        <f t="shared" si="16"/>
        <v>31</v>
      </c>
      <c r="AJ276">
        <f t="shared" si="17"/>
        <v>0</v>
      </c>
    </row>
    <row r="277" spans="1:36" ht="15">
      <c r="A277" s="177"/>
      <c r="B277">
        <v>33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f t="shared" si="15"/>
        <v>1</v>
      </c>
      <c r="AI277">
        <f t="shared" si="16"/>
        <v>30</v>
      </c>
      <c r="AJ277">
        <f t="shared" si="17"/>
        <v>1</v>
      </c>
    </row>
    <row r="278" spans="1:36" ht="15">
      <c r="A278" s="177"/>
      <c r="B278">
        <v>34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f t="shared" si="15"/>
        <v>0</v>
      </c>
      <c r="AI278">
        <f t="shared" si="16"/>
        <v>31</v>
      </c>
      <c r="AJ278">
        <f t="shared" si="17"/>
        <v>0</v>
      </c>
    </row>
    <row r="279" spans="1:36" ht="15">
      <c r="A279" s="177"/>
      <c r="B279">
        <v>35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f t="shared" si="15"/>
        <v>0</v>
      </c>
      <c r="AI279">
        <f t="shared" si="16"/>
        <v>31</v>
      </c>
      <c r="AJ279">
        <f t="shared" si="17"/>
        <v>0</v>
      </c>
    </row>
    <row r="280" spans="1:36" ht="15">
      <c r="A280" s="177"/>
      <c r="B280">
        <v>36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5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f t="shared" si="15"/>
        <v>5</v>
      </c>
      <c r="AI280">
        <f t="shared" si="16"/>
        <v>30</v>
      </c>
      <c r="AJ280">
        <f t="shared" si="17"/>
        <v>1</v>
      </c>
    </row>
    <row r="281" spans="1:36" ht="15">
      <c r="A281" s="177"/>
      <c r="B281">
        <v>37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1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f t="shared" si="15"/>
        <v>1</v>
      </c>
      <c r="AI281">
        <f t="shared" si="16"/>
        <v>30</v>
      </c>
      <c r="AJ281">
        <f t="shared" si="17"/>
        <v>1</v>
      </c>
    </row>
    <row r="282" spans="1:36" ht="15">
      <c r="A282" s="177"/>
      <c r="B282">
        <v>38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7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1</v>
      </c>
      <c r="AH282">
        <f t="shared" si="15"/>
        <v>8</v>
      </c>
      <c r="AI282">
        <f t="shared" si="16"/>
        <v>29</v>
      </c>
      <c r="AJ282">
        <f t="shared" si="17"/>
        <v>2</v>
      </c>
    </row>
    <row r="283" spans="1:36" ht="15">
      <c r="A283" s="177"/>
      <c r="B283">
        <v>39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4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5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f t="shared" si="15"/>
        <v>9</v>
      </c>
      <c r="AI283">
        <f t="shared" si="16"/>
        <v>29</v>
      </c>
      <c r="AJ283">
        <f t="shared" si="17"/>
        <v>2</v>
      </c>
    </row>
    <row r="284" spans="1:36" ht="15">
      <c r="A284" s="177"/>
      <c r="B284">
        <v>40</v>
      </c>
      <c r="C284">
        <v>1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f t="shared" si="15"/>
        <v>1</v>
      </c>
      <c r="AI284">
        <f t="shared" si="16"/>
        <v>30</v>
      </c>
      <c r="AJ284">
        <f t="shared" si="17"/>
        <v>1</v>
      </c>
    </row>
    <row r="285" spans="1:36" ht="15">
      <c r="A285" s="177"/>
      <c r="B285">
        <v>41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1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f t="shared" si="15"/>
        <v>1</v>
      </c>
      <c r="AI285">
        <f t="shared" si="16"/>
        <v>30</v>
      </c>
      <c r="AJ285">
        <f t="shared" si="17"/>
        <v>1</v>
      </c>
    </row>
    <row r="286" spans="1:36" ht="15">
      <c r="A286" s="177"/>
      <c r="B286">
        <v>42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0</v>
      </c>
      <c r="O286">
        <v>1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f t="shared" si="15"/>
        <v>2</v>
      </c>
      <c r="AI286">
        <f t="shared" si="16"/>
        <v>29</v>
      </c>
      <c r="AJ286">
        <f t="shared" si="17"/>
        <v>2</v>
      </c>
    </row>
    <row r="287" spans="1:36" ht="15">
      <c r="A287" s="177"/>
      <c r="B287">
        <v>43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3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f t="shared" si="15"/>
        <v>4</v>
      </c>
      <c r="AI287">
        <f t="shared" si="16"/>
        <v>29</v>
      </c>
      <c r="AJ287">
        <f t="shared" si="17"/>
        <v>2</v>
      </c>
    </row>
    <row r="288" spans="1:36" ht="15">
      <c r="A288" s="177"/>
      <c r="B288">
        <v>44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3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2</v>
      </c>
      <c r="AG288">
        <v>0</v>
      </c>
      <c r="AH288">
        <f t="shared" si="15"/>
        <v>5</v>
      </c>
      <c r="AI288">
        <f t="shared" si="16"/>
        <v>29</v>
      </c>
      <c r="AJ288">
        <f t="shared" si="17"/>
        <v>2</v>
      </c>
    </row>
    <row r="289" spans="1:36" ht="15">
      <c r="A289" s="177"/>
      <c r="B289">
        <v>45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2</v>
      </c>
      <c r="Q289">
        <v>0</v>
      </c>
      <c r="R289">
        <v>0</v>
      </c>
      <c r="S289">
        <v>0</v>
      </c>
      <c r="T289">
        <v>0</v>
      </c>
      <c r="U289">
        <v>4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7</v>
      </c>
      <c r="AG289">
        <v>0</v>
      </c>
      <c r="AH289">
        <f t="shared" si="15"/>
        <v>13</v>
      </c>
      <c r="AI289">
        <f t="shared" si="16"/>
        <v>28</v>
      </c>
      <c r="AJ289">
        <f t="shared" si="17"/>
        <v>3</v>
      </c>
    </row>
    <row r="290" spans="1:36" ht="15">
      <c r="A290" s="177"/>
      <c r="B290">
        <v>46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4</v>
      </c>
      <c r="N290">
        <v>0</v>
      </c>
      <c r="O290">
        <v>1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2</v>
      </c>
      <c r="AE290">
        <v>0</v>
      </c>
      <c r="AF290">
        <v>0</v>
      </c>
      <c r="AG290">
        <v>0</v>
      </c>
      <c r="AH290">
        <f t="shared" si="15"/>
        <v>7</v>
      </c>
      <c r="AI290">
        <f t="shared" si="16"/>
        <v>28</v>
      </c>
      <c r="AJ290">
        <f t="shared" si="17"/>
        <v>3</v>
      </c>
    </row>
    <row r="291" spans="1:36" ht="15">
      <c r="A291" s="177"/>
      <c r="B291">
        <v>47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3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f t="shared" si="15"/>
        <v>3</v>
      </c>
      <c r="AI291">
        <f t="shared" si="16"/>
        <v>30</v>
      </c>
      <c r="AJ291">
        <f t="shared" si="17"/>
        <v>1</v>
      </c>
    </row>
    <row r="292" spans="1:36" ht="15">
      <c r="A292" s="177"/>
      <c r="B292">
        <v>48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f t="shared" si="15"/>
        <v>0</v>
      </c>
      <c r="AI292">
        <f t="shared" si="16"/>
        <v>31</v>
      </c>
      <c r="AJ292">
        <f t="shared" si="17"/>
        <v>0</v>
      </c>
    </row>
    <row r="293" spans="1:36" ht="15">
      <c r="A293" s="177"/>
      <c r="B293">
        <v>49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11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1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f t="shared" si="15"/>
        <v>12</v>
      </c>
      <c r="AI293">
        <f t="shared" si="16"/>
        <v>29</v>
      </c>
      <c r="AJ293">
        <f t="shared" si="17"/>
        <v>2</v>
      </c>
    </row>
    <row r="294" spans="1:36" ht="15">
      <c r="A294" s="177"/>
      <c r="B294">
        <v>50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f t="shared" si="15"/>
        <v>0</v>
      </c>
      <c r="AI294">
        <f t="shared" si="16"/>
        <v>31</v>
      </c>
      <c r="AJ294">
        <f t="shared" si="17"/>
        <v>0</v>
      </c>
    </row>
    <row r="295" spans="1:36" ht="15">
      <c r="A295" s="177"/>
      <c r="B295">
        <v>51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4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f t="shared" si="15"/>
        <v>4</v>
      </c>
      <c r="AI295">
        <f t="shared" si="16"/>
        <v>30</v>
      </c>
      <c r="AJ295">
        <f t="shared" si="17"/>
        <v>1</v>
      </c>
    </row>
    <row r="296" spans="1:36" ht="15">
      <c r="A296" s="177"/>
      <c r="B296">
        <v>52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f t="shared" si="15"/>
        <v>1</v>
      </c>
      <c r="AI296">
        <f t="shared" si="16"/>
        <v>30</v>
      </c>
      <c r="AJ296">
        <f t="shared" si="17"/>
        <v>1</v>
      </c>
    </row>
    <row r="297" spans="1:36" ht="15">
      <c r="A297" s="177"/>
      <c r="B297">
        <v>53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1</v>
      </c>
      <c r="O297">
        <v>1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f t="shared" si="15"/>
        <v>2</v>
      </c>
      <c r="AI297">
        <f t="shared" si="16"/>
        <v>29</v>
      </c>
      <c r="AJ297">
        <f t="shared" si="17"/>
        <v>2</v>
      </c>
    </row>
    <row r="298" spans="1:36" ht="15">
      <c r="A298" s="177"/>
      <c r="B298">
        <v>54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f t="shared" si="15"/>
        <v>1</v>
      </c>
      <c r="AI298">
        <f t="shared" si="16"/>
        <v>30</v>
      </c>
      <c r="AJ298">
        <f t="shared" si="17"/>
        <v>1</v>
      </c>
    </row>
    <row r="299" spans="1:36" ht="15">
      <c r="A299" s="177"/>
      <c r="B299">
        <v>55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2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f t="shared" si="15"/>
        <v>2</v>
      </c>
      <c r="AI299">
        <f t="shared" si="16"/>
        <v>30</v>
      </c>
      <c r="AJ299">
        <f t="shared" si="17"/>
        <v>1</v>
      </c>
    </row>
    <row r="300" spans="1:36" ht="15">
      <c r="A300" s="177"/>
      <c r="B300">
        <v>56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3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f t="shared" si="15"/>
        <v>3</v>
      </c>
      <c r="AI300">
        <f t="shared" si="16"/>
        <v>30</v>
      </c>
      <c r="AJ300">
        <f t="shared" si="17"/>
        <v>1</v>
      </c>
    </row>
    <row r="301" spans="1:36" ht="15">
      <c r="A301" s="177"/>
      <c r="B301">
        <v>57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5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f t="shared" si="15"/>
        <v>5</v>
      </c>
      <c r="AI301">
        <f t="shared" si="16"/>
        <v>30</v>
      </c>
      <c r="AJ301">
        <f t="shared" si="17"/>
        <v>1</v>
      </c>
    </row>
    <row r="302" spans="1:36" ht="15">
      <c r="A302" s="177"/>
      <c r="B302">
        <v>58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5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f t="shared" si="15"/>
        <v>5</v>
      </c>
      <c r="AI302">
        <f t="shared" si="16"/>
        <v>30</v>
      </c>
      <c r="AJ302">
        <f t="shared" si="17"/>
        <v>1</v>
      </c>
    </row>
    <row r="303" spans="1:36" ht="15">
      <c r="A303" s="177"/>
      <c r="B303">
        <v>59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f t="shared" si="15"/>
        <v>1</v>
      </c>
      <c r="AI303">
        <f t="shared" si="16"/>
        <v>30</v>
      </c>
      <c r="AJ303">
        <f t="shared" si="17"/>
        <v>1</v>
      </c>
    </row>
    <row r="304" spans="1:36" ht="15">
      <c r="A304" s="177"/>
      <c r="B304">
        <v>60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1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f t="shared" si="15"/>
        <v>1</v>
      </c>
      <c r="AI304">
        <f t="shared" si="16"/>
        <v>30</v>
      </c>
      <c r="AJ304">
        <f t="shared" si="17"/>
        <v>1</v>
      </c>
    </row>
    <row r="305" spans="3:36" s="108" customFormat="1" ht="15">
      <c r="C305" s="108">
        <f aca="true" t="shared" si="18" ref="C305:AG305">SUM(C245:C324)</f>
        <v>1</v>
      </c>
      <c r="D305" s="108">
        <f ca="1" t="shared" si="18"/>
        <v>0</v>
      </c>
      <c r="E305" s="108">
        <f ca="1" t="shared" si="18"/>
        <v>0</v>
      </c>
      <c r="F305" s="108">
        <f ca="1" t="shared" si="18"/>
        <v>0</v>
      </c>
      <c r="G305" s="108">
        <f ca="1" t="shared" si="18"/>
        <v>0</v>
      </c>
      <c r="H305" s="108">
        <f ca="1" t="shared" si="18"/>
        <v>0</v>
      </c>
      <c r="I305" s="108">
        <f ca="1" t="shared" si="18"/>
        <v>4</v>
      </c>
      <c r="J305" s="108">
        <f ca="1" t="shared" si="18"/>
        <v>0</v>
      </c>
      <c r="K305" s="108">
        <f ca="1" t="shared" si="18"/>
        <v>16</v>
      </c>
      <c r="L305" s="108">
        <f ca="1" t="shared" si="18"/>
        <v>0</v>
      </c>
      <c r="M305" s="108">
        <f ca="1" t="shared" si="18"/>
        <v>13</v>
      </c>
      <c r="N305" s="108">
        <f ca="1" t="shared" si="18"/>
        <v>14</v>
      </c>
      <c r="O305" s="108">
        <f ca="1" t="shared" si="18"/>
        <v>18</v>
      </c>
      <c r="P305" s="108">
        <f ca="1" t="shared" si="18"/>
        <v>4</v>
      </c>
      <c r="Q305" s="108">
        <f ca="1" t="shared" si="18"/>
        <v>0</v>
      </c>
      <c r="R305" s="108">
        <f ca="1" t="shared" si="18"/>
        <v>4</v>
      </c>
      <c r="S305" s="108">
        <f ca="1" t="shared" si="18"/>
        <v>1</v>
      </c>
      <c r="T305" s="108">
        <f ca="1" t="shared" si="18"/>
        <v>0</v>
      </c>
      <c r="U305" s="108">
        <f ca="1" t="shared" si="18"/>
        <v>4</v>
      </c>
      <c r="V305" s="108">
        <f ca="1" t="shared" si="18"/>
        <v>0</v>
      </c>
      <c r="W305" s="108">
        <f ca="1" t="shared" si="18"/>
        <v>0</v>
      </c>
      <c r="X305" s="108">
        <f ca="1" t="shared" si="18"/>
        <v>10</v>
      </c>
      <c r="Y305" s="108">
        <f ca="1" t="shared" si="18"/>
        <v>0</v>
      </c>
      <c r="Z305" s="108">
        <f ca="1" t="shared" si="18"/>
        <v>0</v>
      </c>
      <c r="AA305" s="108">
        <f ca="1" t="shared" si="18"/>
        <v>0</v>
      </c>
      <c r="AB305" s="108">
        <f ca="1" t="shared" si="18"/>
        <v>0</v>
      </c>
      <c r="AC305" s="108">
        <f ca="1" t="shared" si="18"/>
        <v>0</v>
      </c>
      <c r="AD305" s="108">
        <f ca="1" t="shared" si="18"/>
        <v>2</v>
      </c>
      <c r="AE305" s="108">
        <f ca="1" t="shared" si="18"/>
        <v>0</v>
      </c>
      <c r="AF305" s="108">
        <f ca="1" t="shared" si="18"/>
        <v>9</v>
      </c>
      <c r="AG305" s="108">
        <f ca="1" t="shared" si="18"/>
        <v>1</v>
      </c>
      <c r="AH305" s="108">
        <f ca="1" t="shared" si="15"/>
        <v>3</v>
      </c>
      <c r="AI305" s="108">
        <f ca="1" t="shared" si="16"/>
        <v>30</v>
      </c>
      <c r="AJ305" s="108">
        <f ca="1" t="shared" si="17"/>
        <v>1</v>
      </c>
    </row>
    <row r="306" spans="1:36" ht="15">
      <c r="A306" s="177">
        <v>5</v>
      </c>
      <c r="B306">
        <v>1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5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f t="shared" si="15"/>
        <v>5</v>
      </c>
      <c r="AI306">
        <f t="shared" si="16"/>
        <v>30</v>
      </c>
      <c r="AJ306">
        <f t="shared" si="17"/>
        <v>1</v>
      </c>
    </row>
    <row r="307" spans="1:36" ht="15">
      <c r="A307" s="177"/>
      <c r="B307">
        <v>2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f t="shared" si="15"/>
        <v>0</v>
      </c>
      <c r="AI307">
        <f t="shared" si="16"/>
        <v>31</v>
      </c>
      <c r="AJ307">
        <f t="shared" si="17"/>
        <v>0</v>
      </c>
    </row>
    <row r="308" spans="1:36" ht="15">
      <c r="A308" s="177"/>
      <c r="B308">
        <v>3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f t="shared" si="15"/>
        <v>0</v>
      </c>
      <c r="AI308">
        <f t="shared" si="16"/>
        <v>31</v>
      </c>
      <c r="AJ308">
        <f t="shared" si="17"/>
        <v>0</v>
      </c>
    </row>
    <row r="309" spans="1:36" ht="15">
      <c r="A309" s="177"/>
      <c r="B309">
        <v>4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f t="shared" si="15"/>
        <v>0</v>
      </c>
      <c r="AI309">
        <f t="shared" si="16"/>
        <v>31</v>
      </c>
      <c r="AJ309">
        <f t="shared" si="17"/>
        <v>0</v>
      </c>
    </row>
    <row r="310" spans="1:36" ht="15">
      <c r="A310" s="177"/>
      <c r="B310">
        <v>5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1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f t="shared" si="15"/>
        <v>1</v>
      </c>
      <c r="AI310">
        <f t="shared" si="16"/>
        <v>30</v>
      </c>
      <c r="AJ310">
        <f t="shared" si="17"/>
        <v>1</v>
      </c>
    </row>
    <row r="311" spans="1:36" ht="15">
      <c r="A311" s="177"/>
      <c r="B311">
        <v>6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10</v>
      </c>
      <c r="AH311">
        <f t="shared" si="15"/>
        <v>12</v>
      </c>
      <c r="AI311">
        <f t="shared" si="16"/>
        <v>29</v>
      </c>
      <c r="AJ311">
        <f t="shared" si="17"/>
        <v>2</v>
      </c>
    </row>
    <row r="312" spans="1:36" ht="15">
      <c r="A312" s="177"/>
      <c r="B312">
        <v>7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7</v>
      </c>
      <c r="J312">
        <v>0</v>
      </c>
      <c r="K312">
        <v>0</v>
      </c>
      <c r="L312">
        <v>0</v>
      </c>
      <c r="M312">
        <v>1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3</v>
      </c>
      <c r="AG312">
        <v>0</v>
      </c>
      <c r="AH312">
        <f t="shared" si="15"/>
        <v>12</v>
      </c>
      <c r="AI312">
        <f t="shared" si="16"/>
        <v>27</v>
      </c>
      <c r="AJ312">
        <f t="shared" si="17"/>
        <v>4</v>
      </c>
    </row>
    <row r="313" spans="1:36" ht="15">
      <c r="A313" s="177"/>
      <c r="B313">
        <v>8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5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f t="shared" si="15"/>
        <v>5</v>
      </c>
      <c r="AI313">
        <f t="shared" si="16"/>
        <v>30</v>
      </c>
      <c r="AJ313">
        <f t="shared" si="17"/>
        <v>1</v>
      </c>
    </row>
    <row r="314" spans="1:36" ht="15">
      <c r="A314" s="177"/>
      <c r="B314">
        <v>9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3</v>
      </c>
      <c r="P314">
        <v>0</v>
      </c>
      <c r="Q314">
        <v>0</v>
      </c>
      <c r="R314">
        <v>0</v>
      </c>
      <c r="S314">
        <v>1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f t="shared" si="15"/>
        <v>4</v>
      </c>
      <c r="AI314">
        <f t="shared" si="16"/>
        <v>29</v>
      </c>
      <c r="AJ314">
        <f t="shared" si="17"/>
        <v>2</v>
      </c>
    </row>
    <row r="315" spans="1:36" ht="15">
      <c r="A315" s="177"/>
      <c r="B315">
        <v>10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2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f t="shared" si="15"/>
        <v>2</v>
      </c>
      <c r="AI315">
        <f t="shared" si="16"/>
        <v>30</v>
      </c>
      <c r="AJ315">
        <f t="shared" si="17"/>
        <v>1</v>
      </c>
    </row>
    <row r="316" spans="1:36" ht="15">
      <c r="A316" s="177"/>
      <c r="B316">
        <v>11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5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f t="shared" si="15"/>
        <v>5</v>
      </c>
      <c r="AI316">
        <f t="shared" si="16"/>
        <v>30</v>
      </c>
      <c r="AJ316">
        <f t="shared" si="17"/>
        <v>1</v>
      </c>
    </row>
    <row r="317" spans="1:36" ht="15">
      <c r="A317" s="177"/>
      <c r="B317">
        <v>12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3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f t="shared" si="15"/>
        <v>3</v>
      </c>
      <c r="AI317">
        <f t="shared" si="16"/>
        <v>30</v>
      </c>
      <c r="AJ317">
        <f t="shared" si="17"/>
        <v>1</v>
      </c>
    </row>
    <row r="318" spans="1:36" ht="15">
      <c r="A318" s="177"/>
      <c r="B318">
        <v>13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</v>
      </c>
      <c r="P318">
        <v>0</v>
      </c>
      <c r="Q318">
        <v>0</v>
      </c>
      <c r="R318">
        <v>0</v>
      </c>
      <c r="S318">
        <v>0</v>
      </c>
      <c r="T318">
        <v>1</v>
      </c>
      <c r="U318">
        <v>0</v>
      </c>
      <c r="V318">
        <v>0</v>
      </c>
      <c r="W318">
        <v>0</v>
      </c>
      <c r="X318">
        <v>1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f t="shared" si="15"/>
        <v>3</v>
      </c>
      <c r="AI318">
        <f t="shared" si="16"/>
        <v>28</v>
      </c>
      <c r="AJ318">
        <f t="shared" si="17"/>
        <v>3</v>
      </c>
    </row>
    <row r="319" spans="1:36" ht="15">
      <c r="A319" s="177"/>
      <c r="B319">
        <v>14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f t="shared" si="15"/>
        <v>1</v>
      </c>
      <c r="AI319">
        <f t="shared" si="16"/>
        <v>30</v>
      </c>
      <c r="AJ319">
        <f t="shared" si="17"/>
        <v>1</v>
      </c>
    </row>
    <row r="320" spans="1:36" ht="15">
      <c r="A320" s="177"/>
      <c r="B320">
        <v>15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f t="shared" si="15"/>
        <v>0</v>
      </c>
      <c r="AI320">
        <f t="shared" si="16"/>
        <v>31</v>
      </c>
      <c r="AJ320">
        <f t="shared" si="17"/>
        <v>0</v>
      </c>
    </row>
    <row r="321" spans="1:36" ht="15">
      <c r="A321" s="177"/>
      <c r="B321">
        <v>16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f t="shared" si="15"/>
        <v>0</v>
      </c>
      <c r="AI321">
        <f t="shared" si="16"/>
        <v>31</v>
      </c>
      <c r="AJ321">
        <f t="shared" si="17"/>
        <v>0</v>
      </c>
    </row>
    <row r="322" spans="1:36" ht="15">
      <c r="A322" s="177"/>
      <c r="B322">
        <v>17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f t="shared" si="15"/>
        <v>0</v>
      </c>
      <c r="AI322">
        <f t="shared" si="16"/>
        <v>31</v>
      </c>
      <c r="AJ322">
        <f t="shared" si="17"/>
        <v>0</v>
      </c>
    </row>
    <row r="323" spans="1:36" ht="15">
      <c r="A323" s="177"/>
      <c r="B323">
        <v>18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f aca="true" t="shared" si="19" ref="AH323:AH368">SUM(C323:AG323)</f>
        <v>0</v>
      </c>
      <c r="AI323">
        <f aca="true" t="shared" si="20" ref="AI323:AI368">COUNTIF(C323:AG323,0)</f>
        <v>31</v>
      </c>
      <c r="AJ323">
        <f aca="true" t="shared" si="21" ref="AJ323:AJ368">31-AI323</f>
        <v>0</v>
      </c>
    </row>
    <row r="324" spans="1:36" ht="15">
      <c r="A324" s="177"/>
      <c r="B324">
        <v>19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5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f t="shared" si="19"/>
        <v>5</v>
      </c>
      <c r="AI324">
        <f t="shared" si="20"/>
        <v>30</v>
      </c>
      <c r="AJ324">
        <f t="shared" si="21"/>
        <v>1</v>
      </c>
    </row>
    <row r="325" spans="1:36" ht="15">
      <c r="A325" s="177"/>
      <c r="B325">
        <v>20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3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f t="shared" si="19"/>
        <v>3</v>
      </c>
      <c r="AI325">
        <f t="shared" si="20"/>
        <v>30</v>
      </c>
      <c r="AJ325">
        <f t="shared" si="21"/>
        <v>1</v>
      </c>
    </row>
    <row r="326" spans="1:36" ht="15">
      <c r="A326" s="177"/>
      <c r="B326">
        <v>21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f t="shared" si="19"/>
        <v>0</v>
      </c>
      <c r="AI326">
        <f t="shared" si="20"/>
        <v>31</v>
      </c>
      <c r="AJ326">
        <f t="shared" si="21"/>
        <v>0</v>
      </c>
    </row>
    <row r="327" spans="1:36" ht="15">
      <c r="A327" s="177"/>
      <c r="B327">
        <v>22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f t="shared" si="19"/>
        <v>0</v>
      </c>
      <c r="AI327">
        <f t="shared" si="20"/>
        <v>31</v>
      </c>
      <c r="AJ327">
        <f t="shared" si="21"/>
        <v>0</v>
      </c>
    </row>
    <row r="328" spans="1:36" ht="15">
      <c r="A328" s="177"/>
      <c r="B328">
        <v>23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1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f t="shared" si="19"/>
        <v>1</v>
      </c>
      <c r="AI328">
        <f t="shared" si="20"/>
        <v>30</v>
      </c>
      <c r="AJ328">
        <f t="shared" si="21"/>
        <v>1</v>
      </c>
    </row>
    <row r="329" spans="1:36" ht="15">
      <c r="A329" s="177"/>
      <c r="B329">
        <v>24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f t="shared" si="19"/>
        <v>1</v>
      </c>
      <c r="AI329">
        <f t="shared" si="20"/>
        <v>30</v>
      </c>
      <c r="AJ329">
        <f t="shared" si="21"/>
        <v>1</v>
      </c>
    </row>
    <row r="330" spans="1:36" ht="15">
      <c r="A330" s="177"/>
      <c r="B330">
        <v>25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f t="shared" si="19"/>
        <v>0</v>
      </c>
      <c r="AI330">
        <f t="shared" si="20"/>
        <v>31</v>
      </c>
      <c r="AJ330">
        <f t="shared" si="21"/>
        <v>0</v>
      </c>
    </row>
    <row r="331" spans="1:36" ht="15">
      <c r="A331" s="177"/>
      <c r="B331">
        <v>26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f t="shared" si="19"/>
        <v>1</v>
      </c>
      <c r="AI331">
        <f t="shared" si="20"/>
        <v>30</v>
      </c>
      <c r="AJ331">
        <f t="shared" si="21"/>
        <v>1</v>
      </c>
    </row>
    <row r="332" spans="1:36" ht="15">
      <c r="A332" s="177"/>
      <c r="B332">
        <v>27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f t="shared" si="19"/>
        <v>0</v>
      </c>
      <c r="AI332">
        <f t="shared" si="20"/>
        <v>31</v>
      </c>
      <c r="AJ332">
        <f t="shared" si="21"/>
        <v>0</v>
      </c>
    </row>
    <row r="333" spans="1:36" ht="15">
      <c r="A333" s="177"/>
      <c r="B333">
        <v>28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f t="shared" si="19"/>
        <v>0</v>
      </c>
      <c r="AI333">
        <f t="shared" si="20"/>
        <v>31</v>
      </c>
      <c r="AJ333">
        <f t="shared" si="21"/>
        <v>0</v>
      </c>
    </row>
    <row r="334" spans="1:36" ht="15">
      <c r="A334" s="177"/>
      <c r="B334">
        <v>29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f t="shared" si="19"/>
        <v>0</v>
      </c>
      <c r="AI334">
        <f t="shared" si="20"/>
        <v>31</v>
      </c>
      <c r="AJ334">
        <f t="shared" si="21"/>
        <v>0</v>
      </c>
    </row>
    <row r="335" spans="1:36" ht="15">
      <c r="A335" s="177"/>
      <c r="B335">
        <v>30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1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f t="shared" si="19"/>
        <v>1</v>
      </c>
      <c r="AI335">
        <f t="shared" si="20"/>
        <v>30</v>
      </c>
      <c r="AJ335">
        <f t="shared" si="21"/>
        <v>1</v>
      </c>
    </row>
    <row r="336" spans="1:36" ht="15">
      <c r="A336" s="177"/>
      <c r="B336">
        <v>31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f t="shared" si="19"/>
        <v>1</v>
      </c>
      <c r="AI336">
        <f t="shared" si="20"/>
        <v>30</v>
      </c>
      <c r="AJ336">
        <f t="shared" si="21"/>
        <v>1</v>
      </c>
    </row>
    <row r="337" spans="1:36" ht="15">
      <c r="A337" s="177"/>
      <c r="B337">
        <v>32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f t="shared" si="19"/>
        <v>0</v>
      </c>
      <c r="AI337">
        <f t="shared" si="20"/>
        <v>31</v>
      </c>
      <c r="AJ337">
        <f t="shared" si="21"/>
        <v>0</v>
      </c>
    </row>
    <row r="338" spans="1:36" ht="15">
      <c r="A338" s="177"/>
      <c r="B338">
        <v>33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3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f t="shared" si="19"/>
        <v>3</v>
      </c>
      <c r="AI338">
        <f t="shared" si="20"/>
        <v>30</v>
      </c>
      <c r="AJ338">
        <f t="shared" si="21"/>
        <v>1</v>
      </c>
    </row>
    <row r="339" spans="1:36" ht="15">
      <c r="A339" s="177"/>
      <c r="B339">
        <v>34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f t="shared" si="19"/>
        <v>0</v>
      </c>
      <c r="AI339">
        <f t="shared" si="20"/>
        <v>31</v>
      </c>
      <c r="AJ339">
        <f t="shared" si="21"/>
        <v>0</v>
      </c>
    </row>
    <row r="340" spans="1:36" ht="15">
      <c r="A340" s="177"/>
      <c r="B340">
        <v>35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3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f t="shared" si="19"/>
        <v>3</v>
      </c>
      <c r="AI340">
        <f t="shared" si="20"/>
        <v>30</v>
      </c>
      <c r="AJ340">
        <f t="shared" si="21"/>
        <v>1</v>
      </c>
    </row>
    <row r="341" spans="1:36" ht="15">
      <c r="A341" s="177"/>
      <c r="B341">
        <v>36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3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f t="shared" si="19"/>
        <v>3</v>
      </c>
      <c r="AI341">
        <f t="shared" si="20"/>
        <v>30</v>
      </c>
      <c r="AJ341">
        <f t="shared" si="21"/>
        <v>1</v>
      </c>
    </row>
    <row r="342" spans="1:36" ht="15">
      <c r="A342" s="177"/>
      <c r="B342">
        <v>37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3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f t="shared" si="19"/>
        <v>3</v>
      </c>
      <c r="AI342">
        <f t="shared" si="20"/>
        <v>30</v>
      </c>
      <c r="AJ342">
        <f t="shared" si="21"/>
        <v>1</v>
      </c>
    </row>
    <row r="343" spans="1:36" ht="15">
      <c r="A343" s="177"/>
      <c r="B343">
        <v>38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f t="shared" si="19"/>
        <v>0</v>
      </c>
      <c r="AI343">
        <f t="shared" si="20"/>
        <v>31</v>
      </c>
      <c r="AJ343">
        <f t="shared" si="21"/>
        <v>0</v>
      </c>
    </row>
    <row r="344" spans="1:36" ht="15">
      <c r="A344" s="177"/>
      <c r="B344">
        <v>39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4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f t="shared" si="19"/>
        <v>4</v>
      </c>
      <c r="AI344">
        <f t="shared" si="20"/>
        <v>30</v>
      </c>
      <c r="AJ344">
        <f t="shared" si="21"/>
        <v>1</v>
      </c>
    </row>
    <row r="345" spans="1:36" ht="15">
      <c r="A345" s="177"/>
      <c r="B345">
        <v>40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8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f t="shared" si="19"/>
        <v>8</v>
      </c>
      <c r="AI345">
        <f t="shared" si="20"/>
        <v>30</v>
      </c>
      <c r="AJ345">
        <f t="shared" si="21"/>
        <v>1</v>
      </c>
    </row>
    <row r="346" spans="1:36" ht="15">
      <c r="A346" s="177"/>
      <c r="B346">
        <v>41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4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f t="shared" si="19"/>
        <v>4</v>
      </c>
      <c r="AI346">
        <f t="shared" si="20"/>
        <v>30</v>
      </c>
      <c r="AJ346">
        <f t="shared" si="21"/>
        <v>1</v>
      </c>
    </row>
    <row r="347" spans="1:36" ht="15">
      <c r="A347" s="177"/>
      <c r="B347">
        <v>42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6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1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f t="shared" si="19"/>
        <v>7</v>
      </c>
      <c r="AI347">
        <f t="shared" si="20"/>
        <v>29</v>
      </c>
      <c r="AJ347">
        <f t="shared" si="21"/>
        <v>2</v>
      </c>
    </row>
    <row r="348" spans="1:36" ht="15">
      <c r="A348" s="177"/>
      <c r="B348">
        <v>43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2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f t="shared" si="19"/>
        <v>2</v>
      </c>
      <c r="AI348">
        <f t="shared" si="20"/>
        <v>30</v>
      </c>
      <c r="AJ348">
        <f t="shared" si="21"/>
        <v>1</v>
      </c>
    </row>
    <row r="349" spans="1:36" ht="15">
      <c r="A349" s="177"/>
      <c r="B349">
        <v>44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1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f t="shared" si="19"/>
        <v>1</v>
      </c>
      <c r="AI349">
        <f t="shared" si="20"/>
        <v>30</v>
      </c>
      <c r="AJ349">
        <f t="shared" si="21"/>
        <v>1</v>
      </c>
    </row>
    <row r="350" spans="1:36" ht="15">
      <c r="A350" s="177"/>
      <c r="B350">
        <v>45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f t="shared" si="19"/>
        <v>0</v>
      </c>
      <c r="AI350">
        <f t="shared" si="20"/>
        <v>31</v>
      </c>
      <c r="AJ350">
        <f t="shared" si="21"/>
        <v>0</v>
      </c>
    </row>
    <row r="351" spans="1:36" ht="15">
      <c r="A351" s="177"/>
      <c r="B351">
        <v>46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1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f t="shared" si="19"/>
        <v>1</v>
      </c>
      <c r="AI351">
        <f t="shared" si="20"/>
        <v>30</v>
      </c>
      <c r="AJ351">
        <f t="shared" si="21"/>
        <v>1</v>
      </c>
    </row>
    <row r="352" spans="1:36" ht="15">
      <c r="A352" s="177"/>
      <c r="B352">
        <v>47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f t="shared" si="19"/>
        <v>1</v>
      </c>
      <c r="AI352">
        <f t="shared" si="20"/>
        <v>30</v>
      </c>
      <c r="AJ352">
        <f t="shared" si="21"/>
        <v>1</v>
      </c>
    </row>
    <row r="353" spans="1:36" ht="15">
      <c r="A353" s="177"/>
      <c r="B353">
        <v>48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1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1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f t="shared" si="19"/>
        <v>2</v>
      </c>
      <c r="AI353">
        <f t="shared" si="20"/>
        <v>29</v>
      </c>
      <c r="AJ353">
        <f t="shared" si="21"/>
        <v>2</v>
      </c>
    </row>
    <row r="354" spans="1:36" ht="15">
      <c r="A354" s="177"/>
      <c r="B354">
        <v>49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4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f t="shared" si="19"/>
        <v>4</v>
      </c>
      <c r="AI354">
        <f t="shared" si="20"/>
        <v>30</v>
      </c>
      <c r="AJ354">
        <f t="shared" si="21"/>
        <v>1</v>
      </c>
    </row>
    <row r="355" spans="1:36" ht="15">
      <c r="A355" s="177"/>
      <c r="B355">
        <v>50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2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f t="shared" si="19"/>
        <v>5</v>
      </c>
      <c r="AI355">
        <f t="shared" si="20"/>
        <v>29</v>
      </c>
      <c r="AJ355">
        <f t="shared" si="21"/>
        <v>2</v>
      </c>
    </row>
    <row r="356" spans="1:36" ht="15">
      <c r="A356" s="177"/>
      <c r="B356">
        <v>51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f t="shared" si="19"/>
        <v>0</v>
      </c>
      <c r="AI356">
        <f t="shared" si="20"/>
        <v>31</v>
      </c>
      <c r="AJ356">
        <f t="shared" si="21"/>
        <v>0</v>
      </c>
    </row>
    <row r="357" spans="1:36" ht="15">
      <c r="A357" s="177"/>
      <c r="B357">
        <v>52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f t="shared" si="19"/>
        <v>0</v>
      </c>
      <c r="AI357">
        <f t="shared" si="20"/>
        <v>31</v>
      </c>
      <c r="AJ357">
        <f t="shared" si="21"/>
        <v>0</v>
      </c>
    </row>
    <row r="358" spans="1:36" ht="15">
      <c r="A358" s="177"/>
      <c r="B358">
        <v>53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f t="shared" si="19"/>
        <v>0</v>
      </c>
      <c r="AI358">
        <f t="shared" si="20"/>
        <v>31</v>
      </c>
      <c r="AJ358">
        <f t="shared" si="21"/>
        <v>0</v>
      </c>
    </row>
    <row r="359" spans="1:36" ht="15">
      <c r="A359" s="177"/>
      <c r="B359">
        <v>54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1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f t="shared" si="19"/>
        <v>1</v>
      </c>
      <c r="AI359">
        <f t="shared" si="20"/>
        <v>30</v>
      </c>
      <c r="AJ359">
        <f t="shared" si="21"/>
        <v>1</v>
      </c>
    </row>
    <row r="360" spans="1:36" ht="15">
      <c r="A360" s="177"/>
      <c r="B360">
        <v>55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2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f t="shared" si="19"/>
        <v>2</v>
      </c>
      <c r="AI360">
        <f t="shared" si="20"/>
        <v>30</v>
      </c>
      <c r="AJ360">
        <f t="shared" si="21"/>
        <v>1</v>
      </c>
    </row>
    <row r="361" spans="1:36" ht="15">
      <c r="A361" s="177"/>
      <c r="B361">
        <v>56</v>
      </c>
      <c r="C361">
        <v>1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f t="shared" si="19"/>
        <v>1</v>
      </c>
      <c r="AI361">
        <f t="shared" si="20"/>
        <v>30</v>
      </c>
      <c r="AJ361">
        <f t="shared" si="21"/>
        <v>1</v>
      </c>
    </row>
    <row r="362" spans="1:36" ht="15">
      <c r="A362" s="177"/>
      <c r="B362">
        <v>57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f t="shared" si="19"/>
        <v>0</v>
      </c>
      <c r="AI362">
        <f t="shared" si="20"/>
        <v>31</v>
      </c>
      <c r="AJ362">
        <f t="shared" si="21"/>
        <v>0</v>
      </c>
    </row>
    <row r="363" spans="1:36" ht="15">
      <c r="A363" s="177"/>
      <c r="B363">
        <v>58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f t="shared" si="19"/>
        <v>0</v>
      </c>
      <c r="AI363">
        <f t="shared" si="20"/>
        <v>31</v>
      </c>
      <c r="AJ363">
        <f t="shared" si="21"/>
        <v>0</v>
      </c>
    </row>
    <row r="364" spans="1:36" ht="15">
      <c r="A364" s="177"/>
      <c r="B364">
        <v>59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f t="shared" si="19"/>
        <v>0</v>
      </c>
      <c r="AI364">
        <f t="shared" si="20"/>
        <v>31</v>
      </c>
      <c r="AJ364">
        <f t="shared" si="21"/>
        <v>0</v>
      </c>
    </row>
    <row r="365" spans="1:36" ht="15">
      <c r="A365" s="177"/>
      <c r="B365">
        <v>60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1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f t="shared" si="19"/>
        <v>1</v>
      </c>
      <c r="AI365">
        <f t="shared" si="20"/>
        <v>30</v>
      </c>
      <c r="AJ365">
        <f t="shared" si="21"/>
        <v>1</v>
      </c>
    </row>
    <row r="366" spans="1:36" ht="15.75">
      <c r="A366" s="177"/>
      <c r="B366">
        <v>61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>
        <f t="shared" si="19"/>
        <v>0</v>
      </c>
      <c r="AI366">
        <f t="shared" si="20"/>
        <v>31</v>
      </c>
      <c r="AJ366">
        <f t="shared" si="21"/>
        <v>0</v>
      </c>
    </row>
    <row r="367" spans="1:36" ht="15.75">
      <c r="A367" s="177"/>
      <c r="B367">
        <v>62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1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>
        <f t="shared" si="19"/>
        <v>1</v>
      </c>
      <c r="AI367">
        <f t="shared" si="20"/>
        <v>30</v>
      </c>
      <c r="AJ367">
        <f t="shared" si="21"/>
        <v>1</v>
      </c>
    </row>
    <row r="368" spans="2:36" s="108" customFormat="1" ht="15.75">
      <c r="B368" s="125"/>
      <c r="C368" s="108">
        <f>SUM(C306:C367)</f>
        <v>1</v>
      </c>
      <c r="D368" s="108">
        <f aca="true" t="shared" si="22" ref="D368:AG368">SUM(D306:D367)</f>
        <v>0</v>
      </c>
      <c r="E368" s="108">
        <f t="shared" si="22"/>
        <v>0</v>
      </c>
      <c r="F368" s="108">
        <f t="shared" si="22"/>
        <v>0</v>
      </c>
      <c r="G368" s="108">
        <f t="shared" si="22"/>
        <v>0</v>
      </c>
      <c r="H368" s="108">
        <f t="shared" si="22"/>
        <v>0</v>
      </c>
      <c r="I368" s="108">
        <f t="shared" si="22"/>
        <v>12</v>
      </c>
      <c r="J368" s="108">
        <f t="shared" si="22"/>
        <v>0</v>
      </c>
      <c r="K368" s="108">
        <f t="shared" si="22"/>
        <v>2</v>
      </c>
      <c r="L368" s="108">
        <f t="shared" si="22"/>
        <v>0</v>
      </c>
      <c r="M368" s="108">
        <f t="shared" si="22"/>
        <v>32</v>
      </c>
      <c r="N368" s="108">
        <f t="shared" si="22"/>
        <v>2</v>
      </c>
      <c r="O368" s="108">
        <f t="shared" si="22"/>
        <v>36</v>
      </c>
      <c r="P368" s="108">
        <f t="shared" si="22"/>
        <v>4</v>
      </c>
      <c r="Q368" s="108">
        <f t="shared" si="22"/>
        <v>0</v>
      </c>
      <c r="R368" s="108">
        <f t="shared" si="22"/>
        <v>0</v>
      </c>
      <c r="S368" s="108">
        <f t="shared" si="22"/>
        <v>4</v>
      </c>
      <c r="T368" s="108">
        <f t="shared" si="22"/>
        <v>1</v>
      </c>
      <c r="U368" s="108">
        <f t="shared" si="22"/>
        <v>0</v>
      </c>
      <c r="V368" s="108">
        <f t="shared" si="22"/>
        <v>0</v>
      </c>
      <c r="W368" s="108">
        <f t="shared" si="22"/>
        <v>0</v>
      </c>
      <c r="X368" s="108">
        <f t="shared" si="22"/>
        <v>16</v>
      </c>
      <c r="Y368" s="108">
        <f t="shared" si="22"/>
        <v>0</v>
      </c>
      <c r="Z368" s="108">
        <f t="shared" si="22"/>
        <v>0</v>
      </c>
      <c r="AA368" s="108">
        <f t="shared" si="22"/>
        <v>0</v>
      </c>
      <c r="AB368" s="108">
        <f t="shared" si="22"/>
        <v>0</v>
      </c>
      <c r="AC368" s="108">
        <f t="shared" si="22"/>
        <v>0</v>
      </c>
      <c r="AD368" s="108">
        <f t="shared" si="22"/>
        <v>0</v>
      </c>
      <c r="AE368" s="108">
        <f t="shared" si="22"/>
        <v>0</v>
      </c>
      <c r="AF368" s="108">
        <f t="shared" si="22"/>
        <v>3</v>
      </c>
      <c r="AG368" s="108">
        <f t="shared" si="22"/>
        <v>10</v>
      </c>
      <c r="AH368" s="108">
        <f t="shared" si="19"/>
        <v>123</v>
      </c>
      <c r="AI368" s="108">
        <f t="shared" si="20"/>
        <v>19</v>
      </c>
      <c r="AJ368" s="108">
        <f t="shared" si="21"/>
        <v>12</v>
      </c>
    </row>
  </sheetData>
  <mergeCells count="5">
    <mergeCell ref="A306:A367"/>
    <mergeCell ref="A2:A81"/>
    <mergeCell ref="A83:A162"/>
    <mergeCell ref="A164:A243"/>
    <mergeCell ref="A245:A30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 Nurhaliza</dc:creator>
  <cp:keywords/>
  <dc:description/>
  <cp:lastModifiedBy>Siti Nurhaliza</cp:lastModifiedBy>
  <cp:lastPrinted>2019-06-30T12:59:46Z</cp:lastPrinted>
  <dcterms:created xsi:type="dcterms:W3CDTF">2019-06-20T12:23:47Z</dcterms:created>
  <dcterms:modified xsi:type="dcterms:W3CDTF">2019-09-02T17:55:59Z</dcterms:modified>
  <cp:category/>
  <cp:version/>
  <cp:contentType/>
  <cp:contentStatus/>
</cp:coreProperties>
</file>