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SKRIPSI\1. SKRIPSI IZA\ANALISIS DATA\"/>
    </mc:Choice>
  </mc:AlternateContent>
  <bookViews>
    <workbookView xWindow="0" yWindow="0" windowWidth="7470" windowHeight="5910" activeTab="6"/>
  </bookViews>
  <sheets>
    <sheet name="T1" sheetId="1" r:id="rId1"/>
    <sheet name="T2" sheetId="2" r:id="rId2"/>
    <sheet name="T3" sheetId="3" r:id="rId3"/>
    <sheet name="T4" sheetId="4" r:id="rId4"/>
    <sheet name="T5" sheetId="5" r:id="rId5"/>
    <sheet name="Ks famili" sheetId="6" r:id="rId6"/>
    <sheet name="Ks lifeform" sheetId="12" r:id="rId7"/>
    <sheet name="Indeks" sheetId="9" r:id="rId8"/>
    <sheet name="Kekayaan spesies" sheetId="7" r:id="rId9"/>
    <sheet name="1-5" sheetId="8" r:id="rId10"/>
    <sheet name="Ks Spesies" sheetId="10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" i="8" l="1"/>
  <c r="F3" i="12" l="1"/>
  <c r="F4" i="12"/>
  <c r="F5" i="12"/>
  <c r="F6" i="12"/>
  <c r="F2" i="12"/>
  <c r="H34" i="10" l="1"/>
  <c r="H33" i="10"/>
  <c r="G33" i="10"/>
  <c r="F33" i="10"/>
  <c r="E33" i="10"/>
  <c r="D33" i="10"/>
  <c r="C33" i="10"/>
  <c r="H32" i="10"/>
  <c r="G32" i="10"/>
  <c r="F32" i="10"/>
  <c r="E32" i="10"/>
  <c r="C32" i="10"/>
  <c r="H31" i="10"/>
  <c r="C31" i="10"/>
  <c r="H30" i="10"/>
  <c r="F30" i="10"/>
  <c r="C30" i="10"/>
  <c r="H29" i="10"/>
  <c r="E29" i="10"/>
  <c r="D29" i="10"/>
  <c r="C29" i="10"/>
  <c r="H28" i="10"/>
  <c r="E28" i="10"/>
  <c r="D28" i="10"/>
  <c r="H27" i="10"/>
  <c r="D27" i="10"/>
  <c r="H26" i="10"/>
  <c r="C26" i="10"/>
  <c r="H25" i="10"/>
  <c r="D25" i="10"/>
  <c r="C25" i="10"/>
  <c r="H24" i="10"/>
  <c r="G24" i="10"/>
  <c r="F24" i="10"/>
  <c r="E24" i="10"/>
  <c r="D24" i="10"/>
  <c r="C24" i="10"/>
  <c r="H23" i="10"/>
  <c r="E23" i="10"/>
  <c r="D23" i="10"/>
  <c r="H22" i="10"/>
  <c r="D22" i="10"/>
  <c r="H21" i="10"/>
  <c r="F21" i="10"/>
  <c r="D21" i="10"/>
  <c r="H20" i="10"/>
  <c r="G20" i="10"/>
  <c r="D20" i="10"/>
  <c r="H19" i="10"/>
  <c r="G19" i="10"/>
  <c r="F19" i="10"/>
  <c r="D19" i="10"/>
  <c r="H18" i="10"/>
  <c r="F18" i="10"/>
  <c r="D18" i="10"/>
  <c r="H17" i="10"/>
  <c r="D17" i="10"/>
  <c r="H16" i="10"/>
  <c r="G16" i="10"/>
  <c r="F16" i="10"/>
  <c r="E16" i="10"/>
  <c r="D16" i="10"/>
  <c r="C16" i="10"/>
  <c r="H15" i="10"/>
  <c r="G15" i="10"/>
  <c r="F15" i="10"/>
  <c r="E15" i="10"/>
  <c r="D15" i="10"/>
  <c r="C15" i="10"/>
  <c r="H14" i="10"/>
  <c r="G14" i="10"/>
  <c r="F14" i="10"/>
  <c r="E14" i="10"/>
  <c r="D14" i="10"/>
  <c r="C14" i="10"/>
  <c r="H13" i="10"/>
  <c r="G13" i="10"/>
  <c r="F13" i="10"/>
  <c r="E13" i="10"/>
  <c r="D13" i="10"/>
  <c r="C13" i="10"/>
  <c r="H12" i="10"/>
  <c r="D12" i="10"/>
  <c r="C12" i="10"/>
  <c r="H11" i="10"/>
  <c r="G11" i="10"/>
  <c r="F11" i="10"/>
  <c r="E11" i="10"/>
  <c r="D11" i="10"/>
  <c r="C11" i="10"/>
  <c r="H10" i="10"/>
  <c r="D10" i="10"/>
  <c r="O9" i="10"/>
  <c r="N9" i="10"/>
  <c r="M9" i="10"/>
  <c r="L9" i="10"/>
  <c r="K9" i="10"/>
  <c r="J9" i="10"/>
  <c r="H9" i="10"/>
  <c r="G9" i="10"/>
  <c r="F9" i="10"/>
  <c r="E9" i="10"/>
  <c r="D9" i="10"/>
  <c r="C9" i="10"/>
  <c r="O8" i="10"/>
  <c r="N8" i="10"/>
  <c r="M8" i="10"/>
  <c r="L8" i="10"/>
  <c r="K8" i="10"/>
  <c r="J8" i="10"/>
  <c r="H8" i="10"/>
  <c r="E8" i="10"/>
  <c r="O7" i="10"/>
  <c r="N7" i="10"/>
  <c r="M7" i="10"/>
  <c r="L7" i="10"/>
  <c r="K7" i="10"/>
  <c r="J7" i="10"/>
  <c r="H7" i="10"/>
  <c r="E7" i="10"/>
  <c r="C7" i="10"/>
  <c r="O6" i="10"/>
  <c r="N6" i="10"/>
  <c r="M6" i="10"/>
  <c r="L6" i="10"/>
  <c r="K6" i="10"/>
  <c r="J6" i="10"/>
  <c r="H6" i="10"/>
  <c r="E6" i="10"/>
  <c r="D6" i="10"/>
  <c r="O5" i="10"/>
  <c r="N5" i="10"/>
  <c r="M5" i="10"/>
  <c r="L5" i="10"/>
  <c r="K5" i="10"/>
  <c r="J5" i="10"/>
  <c r="H5" i="10"/>
  <c r="E5" i="10"/>
  <c r="D5" i="10"/>
  <c r="C5" i="10"/>
  <c r="O4" i="10"/>
  <c r="N4" i="10"/>
  <c r="M4" i="10"/>
  <c r="L4" i="10"/>
  <c r="K4" i="10"/>
  <c r="J4" i="10"/>
  <c r="H4" i="10"/>
  <c r="C4" i="10"/>
  <c r="H3" i="10"/>
  <c r="G3" i="10"/>
  <c r="F3" i="10"/>
  <c r="E3" i="10"/>
  <c r="D3" i="10"/>
  <c r="C3" i="10"/>
  <c r="I154" i="8"/>
  <c r="I153" i="8"/>
  <c r="J152" i="8"/>
  <c r="I152" i="8"/>
  <c r="H152" i="8"/>
  <c r="G152" i="8"/>
  <c r="F152" i="8"/>
  <c r="J151" i="8"/>
  <c r="I151" i="8"/>
  <c r="H151" i="8"/>
  <c r="G151" i="8"/>
  <c r="F151" i="8"/>
  <c r="J150" i="8"/>
  <c r="I150" i="8"/>
  <c r="H150" i="8"/>
  <c r="G150" i="8"/>
  <c r="F150" i="8"/>
  <c r="J149" i="8"/>
  <c r="I149" i="8"/>
  <c r="H149" i="8"/>
  <c r="G149" i="8"/>
  <c r="F149" i="8"/>
  <c r="J148" i="8"/>
  <c r="I148" i="8"/>
  <c r="H148" i="8"/>
  <c r="G148" i="8"/>
  <c r="F148" i="8"/>
  <c r="J147" i="8"/>
  <c r="I147" i="8"/>
  <c r="H147" i="8"/>
  <c r="G147" i="8"/>
  <c r="F147" i="8"/>
  <c r="J146" i="8"/>
  <c r="I146" i="8"/>
  <c r="H146" i="8"/>
  <c r="G146" i="8"/>
  <c r="F146" i="8"/>
  <c r="J145" i="8"/>
  <c r="I145" i="8"/>
  <c r="H145" i="8"/>
  <c r="G145" i="8"/>
  <c r="F145" i="8"/>
  <c r="J144" i="8"/>
  <c r="I144" i="8"/>
  <c r="H144" i="8"/>
  <c r="G144" i="8"/>
  <c r="F144" i="8"/>
  <c r="J143" i="8"/>
  <c r="I143" i="8"/>
  <c r="H143" i="8"/>
  <c r="G143" i="8"/>
  <c r="F143" i="8"/>
  <c r="J142" i="8"/>
  <c r="I142" i="8"/>
  <c r="H142" i="8"/>
  <c r="G142" i="8"/>
  <c r="F142" i="8"/>
  <c r="J141" i="8"/>
  <c r="I141" i="8"/>
  <c r="H141" i="8"/>
  <c r="G141" i="8"/>
  <c r="F141" i="8"/>
  <c r="J140" i="8"/>
  <c r="I140" i="8"/>
  <c r="H140" i="8"/>
  <c r="G140" i="8"/>
  <c r="F140" i="8"/>
  <c r="J139" i="8"/>
  <c r="I139" i="8"/>
  <c r="H139" i="8"/>
  <c r="G139" i="8"/>
  <c r="F139" i="8"/>
  <c r="J138" i="8"/>
  <c r="I138" i="8"/>
  <c r="H138" i="8"/>
  <c r="G138" i="8"/>
  <c r="F138" i="8"/>
  <c r="J137" i="8"/>
  <c r="I137" i="8"/>
  <c r="H137" i="8"/>
  <c r="G137" i="8"/>
  <c r="F137" i="8"/>
  <c r="J136" i="8"/>
  <c r="I136" i="8"/>
  <c r="H136" i="8"/>
  <c r="G136" i="8"/>
  <c r="F136" i="8"/>
  <c r="J135" i="8"/>
  <c r="I135" i="8"/>
  <c r="H135" i="8"/>
  <c r="G135" i="8"/>
  <c r="F135" i="8"/>
  <c r="J134" i="8"/>
  <c r="I134" i="8"/>
  <c r="H134" i="8"/>
  <c r="G134" i="8"/>
  <c r="F134" i="8"/>
  <c r="J133" i="8"/>
  <c r="I133" i="8"/>
  <c r="H133" i="8"/>
  <c r="G133" i="8"/>
  <c r="F133" i="8"/>
  <c r="J132" i="8"/>
  <c r="I132" i="8"/>
  <c r="H132" i="8"/>
  <c r="G132" i="8"/>
  <c r="F132" i="8"/>
  <c r="J131" i="8"/>
  <c r="I131" i="8"/>
  <c r="H131" i="8"/>
  <c r="G131" i="8"/>
  <c r="F131" i="8"/>
  <c r="J130" i="8"/>
  <c r="I130" i="8"/>
  <c r="H130" i="8"/>
  <c r="G130" i="8"/>
  <c r="F130" i="8"/>
  <c r="J129" i="8"/>
  <c r="I129" i="8"/>
  <c r="H129" i="8"/>
  <c r="G129" i="8"/>
  <c r="F129" i="8"/>
  <c r="J128" i="8"/>
  <c r="I128" i="8"/>
  <c r="H128" i="8"/>
  <c r="G128" i="8"/>
  <c r="F128" i="8"/>
  <c r="J127" i="8"/>
  <c r="I127" i="8"/>
  <c r="H127" i="8"/>
  <c r="G127" i="8"/>
  <c r="F127" i="8"/>
  <c r="J126" i="8"/>
  <c r="I126" i="8"/>
  <c r="H126" i="8"/>
  <c r="G126" i="8"/>
  <c r="F126" i="8"/>
  <c r="J125" i="8"/>
  <c r="I125" i="8"/>
  <c r="H125" i="8"/>
  <c r="G125" i="8"/>
  <c r="F125" i="8"/>
  <c r="J124" i="8"/>
  <c r="I124" i="8"/>
  <c r="H124" i="8"/>
  <c r="G124" i="8"/>
  <c r="F124" i="8"/>
  <c r="J123" i="8"/>
  <c r="I123" i="8"/>
  <c r="H123" i="8"/>
  <c r="G123" i="8"/>
  <c r="F123" i="8"/>
  <c r="J122" i="8"/>
  <c r="I122" i="8"/>
  <c r="H122" i="8"/>
  <c r="G122" i="8"/>
  <c r="F122" i="8"/>
  <c r="I118" i="8"/>
  <c r="I117" i="8"/>
  <c r="I116" i="8"/>
  <c r="J115" i="8"/>
  <c r="I115" i="8"/>
  <c r="F115" i="8"/>
  <c r="J114" i="8"/>
  <c r="I114" i="8"/>
  <c r="H114" i="8"/>
  <c r="G114" i="8"/>
  <c r="J113" i="8"/>
  <c r="I113" i="8"/>
  <c r="H113" i="8"/>
  <c r="G113" i="8"/>
  <c r="J112" i="8"/>
  <c r="I112" i="8"/>
  <c r="H112" i="8"/>
  <c r="G112" i="8"/>
  <c r="J111" i="8"/>
  <c r="I111" i="8"/>
  <c r="H111" i="8"/>
  <c r="G111" i="8"/>
  <c r="J110" i="8"/>
  <c r="I110" i="8"/>
  <c r="H110" i="8"/>
  <c r="G110" i="8"/>
  <c r="J109" i="8"/>
  <c r="I109" i="8"/>
  <c r="H109" i="8"/>
  <c r="G109" i="8"/>
  <c r="J108" i="8"/>
  <c r="I108" i="8"/>
  <c r="H108" i="8"/>
  <c r="G108" i="8"/>
  <c r="J107" i="8"/>
  <c r="I107" i="8"/>
  <c r="H107" i="8"/>
  <c r="G107" i="8"/>
  <c r="J106" i="8"/>
  <c r="I106" i="8"/>
  <c r="H106" i="8"/>
  <c r="G106" i="8"/>
  <c r="J105" i="8"/>
  <c r="I105" i="8"/>
  <c r="H105" i="8"/>
  <c r="G105" i="8"/>
  <c r="J104" i="8"/>
  <c r="I104" i="8"/>
  <c r="H104" i="8"/>
  <c r="G104" i="8"/>
  <c r="J103" i="8"/>
  <c r="I103" i="8"/>
  <c r="H103" i="8"/>
  <c r="G103" i="8"/>
  <c r="I99" i="8"/>
  <c r="I98" i="8"/>
  <c r="I97" i="8"/>
  <c r="J96" i="8"/>
  <c r="I96" i="8"/>
  <c r="F96" i="8"/>
  <c r="J95" i="8"/>
  <c r="I95" i="8"/>
  <c r="H95" i="8"/>
  <c r="G95" i="8"/>
  <c r="J94" i="8"/>
  <c r="I94" i="8"/>
  <c r="H94" i="8"/>
  <c r="G94" i="8"/>
  <c r="J93" i="8"/>
  <c r="I93" i="8"/>
  <c r="H93" i="8"/>
  <c r="G93" i="8"/>
  <c r="J92" i="8"/>
  <c r="I92" i="8"/>
  <c r="H92" i="8"/>
  <c r="G92" i="8"/>
  <c r="J91" i="8"/>
  <c r="I91" i="8"/>
  <c r="H91" i="8"/>
  <c r="G91" i="8"/>
  <c r="J90" i="8"/>
  <c r="I90" i="8"/>
  <c r="H90" i="8"/>
  <c r="G90" i="8"/>
  <c r="J89" i="8"/>
  <c r="I89" i="8"/>
  <c r="H89" i="8"/>
  <c r="G89" i="8"/>
  <c r="J88" i="8"/>
  <c r="I88" i="8"/>
  <c r="H88" i="8"/>
  <c r="G88" i="8"/>
  <c r="J87" i="8"/>
  <c r="I87" i="8"/>
  <c r="H87" i="8"/>
  <c r="G87" i="8"/>
  <c r="J86" i="8"/>
  <c r="I86" i="8"/>
  <c r="H86" i="8"/>
  <c r="G86" i="8"/>
  <c r="J85" i="8"/>
  <c r="I85" i="8"/>
  <c r="H85" i="8"/>
  <c r="G85" i="8"/>
  <c r="J84" i="8"/>
  <c r="I84" i="8"/>
  <c r="H84" i="8"/>
  <c r="G84" i="8"/>
  <c r="J83" i="8"/>
  <c r="I83" i="8"/>
  <c r="H83" i="8"/>
  <c r="G83" i="8"/>
  <c r="J82" i="8"/>
  <c r="I82" i="8"/>
  <c r="H82" i="8"/>
  <c r="G82" i="8"/>
  <c r="I78" i="8"/>
  <c r="I77" i="8"/>
  <c r="I76" i="8"/>
  <c r="J75" i="8"/>
  <c r="I75" i="8"/>
  <c r="F75" i="8"/>
  <c r="J74" i="8"/>
  <c r="I74" i="8"/>
  <c r="H74" i="8"/>
  <c r="G74" i="8"/>
  <c r="J73" i="8"/>
  <c r="I73" i="8"/>
  <c r="H73" i="8"/>
  <c r="G73" i="8"/>
  <c r="J72" i="8"/>
  <c r="I72" i="8"/>
  <c r="H72" i="8"/>
  <c r="G72" i="8"/>
  <c r="J71" i="8"/>
  <c r="I71" i="8"/>
  <c r="H71" i="8"/>
  <c r="G71" i="8"/>
  <c r="J70" i="8"/>
  <c r="I70" i="8"/>
  <c r="H70" i="8"/>
  <c r="G70" i="8"/>
  <c r="J69" i="8"/>
  <c r="I69" i="8"/>
  <c r="H69" i="8"/>
  <c r="G69" i="8"/>
  <c r="J68" i="8"/>
  <c r="I68" i="8"/>
  <c r="H68" i="8"/>
  <c r="G68" i="8"/>
  <c r="J67" i="8"/>
  <c r="I67" i="8"/>
  <c r="H67" i="8"/>
  <c r="G67" i="8"/>
  <c r="J66" i="8"/>
  <c r="I66" i="8"/>
  <c r="H66" i="8"/>
  <c r="G66" i="8"/>
  <c r="J65" i="8"/>
  <c r="I65" i="8"/>
  <c r="H65" i="8"/>
  <c r="G65" i="8"/>
  <c r="J64" i="8"/>
  <c r="I64" i="8"/>
  <c r="H64" i="8"/>
  <c r="G64" i="8"/>
  <c r="J63" i="8"/>
  <c r="I63" i="8"/>
  <c r="H63" i="8"/>
  <c r="G63" i="8"/>
  <c r="J62" i="8"/>
  <c r="I62" i="8"/>
  <c r="H62" i="8"/>
  <c r="G62" i="8"/>
  <c r="J61" i="8"/>
  <c r="I61" i="8"/>
  <c r="H61" i="8"/>
  <c r="G61" i="8"/>
  <c r="J60" i="8"/>
  <c r="I60" i="8"/>
  <c r="H60" i="8"/>
  <c r="G60" i="8"/>
  <c r="J59" i="8"/>
  <c r="I59" i="8"/>
  <c r="H59" i="8"/>
  <c r="G59" i="8"/>
  <c r="I56" i="8"/>
  <c r="I55" i="8"/>
  <c r="I54" i="8"/>
  <c r="J53" i="8"/>
  <c r="I53" i="8"/>
  <c r="F53" i="8"/>
  <c r="J52" i="8"/>
  <c r="I52" i="8"/>
  <c r="H52" i="8"/>
  <c r="G52" i="8"/>
  <c r="J51" i="8"/>
  <c r="I51" i="8"/>
  <c r="H51" i="8"/>
  <c r="G51" i="8"/>
  <c r="J50" i="8"/>
  <c r="I50" i="8"/>
  <c r="H50" i="8"/>
  <c r="G50" i="8"/>
  <c r="J49" i="8"/>
  <c r="I49" i="8"/>
  <c r="H49" i="8"/>
  <c r="G49" i="8"/>
  <c r="J48" i="8"/>
  <c r="I48" i="8"/>
  <c r="H48" i="8"/>
  <c r="G48" i="8"/>
  <c r="J47" i="8"/>
  <c r="I47" i="8"/>
  <c r="H47" i="8"/>
  <c r="G47" i="8"/>
  <c r="J46" i="8"/>
  <c r="I46" i="8"/>
  <c r="H46" i="8"/>
  <c r="G46" i="8"/>
  <c r="J45" i="8"/>
  <c r="I45" i="8"/>
  <c r="H45" i="8"/>
  <c r="G45" i="8"/>
  <c r="J44" i="8"/>
  <c r="I44" i="8"/>
  <c r="H44" i="8"/>
  <c r="G44" i="8"/>
  <c r="J43" i="8"/>
  <c r="I43" i="8"/>
  <c r="H43" i="8"/>
  <c r="G43" i="8"/>
  <c r="J42" i="8"/>
  <c r="I42" i="8"/>
  <c r="H42" i="8"/>
  <c r="G42" i="8"/>
  <c r="J41" i="8"/>
  <c r="I41" i="8"/>
  <c r="H41" i="8"/>
  <c r="G41" i="8"/>
  <c r="J40" i="8"/>
  <c r="I40" i="8"/>
  <c r="H40" i="8"/>
  <c r="G40" i="8"/>
  <c r="J39" i="8"/>
  <c r="I39" i="8"/>
  <c r="H39" i="8"/>
  <c r="G39" i="8"/>
  <c r="J38" i="8"/>
  <c r="I38" i="8"/>
  <c r="H38" i="8"/>
  <c r="G38" i="8"/>
  <c r="J37" i="8"/>
  <c r="I37" i="8"/>
  <c r="H37" i="8"/>
  <c r="G37" i="8"/>
  <c r="J36" i="8"/>
  <c r="I36" i="8"/>
  <c r="H36" i="8"/>
  <c r="G36" i="8"/>
  <c r="J35" i="8"/>
  <c r="I35" i="8"/>
  <c r="H35" i="8"/>
  <c r="G35" i="8"/>
  <c r="J34" i="8"/>
  <c r="I34" i="8"/>
  <c r="H34" i="8"/>
  <c r="G34" i="8"/>
  <c r="J33" i="8"/>
  <c r="I33" i="8"/>
  <c r="H33" i="8"/>
  <c r="G33" i="8"/>
  <c r="J32" i="8"/>
  <c r="I32" i="8"/>
  <c r="H32" i="8"/>
  <c r="G32" i="8"/>
  <c r="J31" i="8"/>
  <c r="I31" i="8"/>
  <c r="H31" i="8"/>
  <c r="G31" i="8"/>
  <c r="J30" i="8"/>
  <c r="I30" i="8"/>
  <c r="H30" i="8"/>
  <c r="G30" i="8"/>
  <c r="I26" i="8"/>
  <c r="I25" i="8"/>
  <c r="I24" i="8"/>
  <c r="J23" i="8"/>
  <c r="I23" i="8"/>
  <c r="G23" i="8"/>
  <c r="F23" i="8"/>
  <c r="J22" i="8"/>
  <c r="I22" i="8"/>
  <c r="H22" i="8"/>
  <c r="G22" i="8"/>
  <c r="J21" i="8"/>
  <c r="I21" i="8"/>
  <c r="H21" i="8"/>
  <c r="G21" i="8"/>
  <c r="J20" i="8"/>
  <c r="I20" i="8"/>
  <c r="H20" i="8"/>
  <c r="G20" i="8"/>
  <c r="J19" i="8"/>
  <c r="I19" i="8"/>
  <c r="H19" i="8"/>
  <c r="G19" i="8"/>
  <c r="J18" i="8"/>
  <c r="I18" i="8"/>
  <c r="H18" i="8"/>
  <c r="G18" i="8"/>
  <c r="J17" i="8"/>
  <c r="I17" i="8"/>
  <c r="H17" i="8"/>
  <c r="G17" i="8"/>
  <c r="J16" i="8"/>
  <c r="I16" i="8"/>
  <c r="H16" i="8"/>
  <c r="G16" i="8"/>
  <c r="J15" i="8"/>
  <c r="I15" i="8"/>
  <c r="H15" i="8"/>
  <c r="G15" i="8"/>
  <c r="J14" i="8"/>
  <c r="I14" i="8"/>
  <c r="H14" i="8"/>
  <c r="G14" i="8"/>
  <c r="J13" i="8"/>
  <c r="I13" i="8"/>
  <c r="H13" i="8"/>
  <c r="G13" i="8"/>
  <c r="J12" i="8"/>
  <c r="I12" i="8"/>
  <c r="H12" i="8"/>
  <c r="G12" i="8"/>
  <c r="J11" i="8"/>
  <c r="I11" i="8"/>
  <c r="H11" i="8"/>
  <c r="G11" i="8"/>
  <c r="J10" i="8"/>
  <c r="I10" i="8"/>
  <c r="H10" i="8"/>
  <c r="G10" i="8"/>
  <c r="S9" i="8"/>
  <c r="R9" i="8"/>
  <c r="Q9" i="8"/>
  <c r="P9" i="8"/>
  <c r="O9" i="8"/>
  <c r="N9" i="8"/>
  <c r="J9" i="8"/>
  <c r="I9" i="8"/>
  <c r="H9" i="8"/>
  <c r="G9" i="8"/>
  <c r="W8" i="8"/>
  <c r="S8" i="8"/>
  <c r="J8" i="8"/>
  <c r="I8" i="8"/>
  <c r="H8" i="8"/>
  <c r="G8" i="8"/>
  <c r="AA7" i="8"/>
  <c r="Z7" i="8"/>
  <c r="Y7" i="8"/>
  <c r="X7" i="8"/>
  <c r="W7" i="8"/>
  <c r="R7" i="8"/>
  <c r="Q7" i="8"/>
  <c r="P7" i="8"/>
  <c r="O7" i="8"/>
  <c r="N7" i="8"/>
  <c r="J7" i="8"/>
  <c r="I7" i="8"/>
  <c r="H7" i="8"/>
  <c r="G7" i="8"/>
  <c r="AA6" i="8"/>
  <c r="Z6" i="8"/>
  <c r="Y6" i="8"/>
  <c r="X6" i="8"/>
  <c r="W6" i="8"/>
  <c r="S6" i="8"/>
  <c r="P6" i="8"/>
  <c r="O6" i="8"/>
  <c r="N6" i="8"/>
  <c r="J6" i="8"/>
  <c r="I6" i="8"/>
  <c r="H6" i="8"/>
  <c r="G6" i="8"/>
  <c r="AA5" i="8"/>
  <c r="Z5" i="8"/>
  <c r="Y5" i="8"/>
  <c r="X5" i="8"/>
  <c r="W5" i="8"/>
  <c r="S5" i="8"/>
  <c r="Q5" i="8"/>
  <c r="P5" i="8"/>
  <c r="O5" i="8"/>
  <c r="N5" i="8"/>
  <c r="J5" i="8"/>
  <c r="I5" i="8"/>
  <c r="H5" i="8"/>
  <c r="G5" i="8"/>
  <c r="AA4" i="8"/>
  <c r="Z4" i="8"/>
  <c r="Y4" i="8"/>
  <c r="X4" i="8"/>
  <c r="W4" i="8"/>
  <c r="S4" i="8"/>
  <c r="J4" i="8"/>
  <c r="I4" i="8"/>
  <c r="H4" i="8"/>
  <c r="G4" i="8"/>
  <c r="AJ368" i="7"/>
  <c r="AI368" i="7"/>
  <c r="AH368" i="7"/>
  <c r="AG368" i="7"/>
  <c r="AF368" i="7"/>
  <c r="AE368" i="7"/>
  <c r="AD368" i="7"/>
  <c r="AC368" i="7"/>
  <c r="AB368" i="7"/>
  <c r="AA368" i="7"/>
  <c r="Z368" i="7"/>
  <c r="Y368" i="7"/>
  <c r="X368" i="7"/>
  <c r="W368" i="7"/>
  <c r="V368" i="7"/>
  <c r="U368" i="7"/>
  <c r="T368" i="7"/>
  <c r="S368" i="7"/>
  <c r="R368" i="7"/>
  <c r="Q368" i="7"/>
  <c r="P368" i="7"/>
  <c r="O368" i="7"/>
  <c r="N368" i="7"/>
  <c r="M368" i="7"/>
  <c r="L368" i="7"/>
  <c r="K368" i="7"/>
  <c r="J368" i="7"/>
  <c r="I368" i="7"/>
  <c r="H368" i="7"/>
  <c r="G368" i="7"/>
  <c r="F368" i="7"/>
  <c r="E368" i="7"/>
  <c r="D368" i="7"/>
  <c r="C368" i="7"/>
  <c r="AJ367" i="7"/>
  <c r="AI367" i="7"/>
  <c r="AH367" i="7"/>
  <c r="AJ366" i="7"/>
  <c r="AI366" i="7"/>
  <c r="AH366" i="7"/>
  <c r="AJ365" i="7"/>
  <c r="AI365" i="7"/>
  <c r="AH365" i="7"/>
  <c r="AJ364" i="7"/>
  <c r="AI364" i="7"/>
  <c r="AH364" i="7"/>
  <c r="AJ363" i="7"/>
  <c r="AI363" i="7"/>
  <c r="AH363" i="7"/>
  <c r="AJ362" i="7"/>
  <c r="AI362" i="7"/>
  <c r="AH362" i="7"/>
  <c r="AJ361" i="7"/>
  <c r="AI361" i="7"/>
  <c r="AH361" i="7"/>
  <c r="AJ360" i="7"/>
  <c r="AI360" i="7"/>
  <c r="AH360" i="7"/>
  <c r="AJ359" i="7"/>
  <c r="AI359" i="7"/>
  <c r="AH359" i="7"/>
  <c r="AJ358" i="7"/>
  <c r="AI358" i="7"/>
  <c r="AH358" i="7"/>
  <c r="AJ357" i="7"/>
  <c r="AI357" i="7"/>
  <c r="AH357" i="7"/>
  <c r="AJ356" i="7"/>
  <c r="AI356" i="7"/>
  <c r="AH356" i="7"/>
  <c r="AJ355" i="7"/>
  <c r="AI355" i="7"/>
  <c r="AH355" i="7"/>
  <c r="AJ354" i="7"/>
  <c r="AI354" i="7"/>
  <c r="AH354" i="7"/>
  <c r="AJ353" i="7"/>
  <c r="AI353" i="7"/>
  <c r="AH353" i="7"/>
  <c r="AJ352" i="7"/>
  <c r="AI352" i="7"/>
  <c r="AH352" i="7"/>
  <c r="AJ351" i="7"/>
  <c r="AI351" i="7"/>
  <c r="AH351" i="7"/>
  <c r="AJ350" i="7"/>
  <c r="AI350" i="7"/>
  <c r="AH350" i="7"/>
  <c r="AJ349" i="7"/>
  <c r="AI349" i="7"/>
  <c r="AH349" i="7"/>
  <c r="AJ348" i="7"/>
  <c r="AI348" i="7"/>
  <c r="AH348" i="7"/>
  <c r="AJ347" i="7"/>
  <c r="AI347" i="7"/>
  <c r="AH347" i="7"/>
  <c r="AJ346" i="7"/>
  <c r="AI346" i="7"/>
  <c r="AH346" i="7"/>
  <c r="AJ345" i="7"/>
  <c r="AI345" i="7"/>
  <c r="AH345" i="7"/>
  <c r="AJ344" i="7"/>
  <c r="AI344" i="7"/>
  <c r="AH344" i="7"/>
  <c r="AJ343" i="7"/>
  <c r="AI343" i="7"/>
  <c r="AH343" i="7"/>
  <c r="AJ342" i="7"/>
  <c r="AI342" i="7"/>
  <c r="AH342" i="7"/>
  <c r="AJ341" i="7"/>
  <c r="AI341" i="7"/>
  <c r="AH341" i="7"/>
  <c r="AJ340" i="7"/>
  <c r="AI340" i="7"/>
  <c r="AH340" i="7"/>
  <c r="AJ339" i="7"/>
  <c r="AI339" i="7"/>
  <c r="AH339" i="7"/>
  <c r="AJ338" i="7"/>
  <c r="AI338" i="7"/>
  <c r="AH338" i="7"/>
  <c r="AJ337" i="7"/>
  <c r="AI337" i="7"/>
  <c r="AH337" i="7"/>
  <c r="AJ336" i="7"/>
  <c r="AI336" i="7"/>
  <c r="AH336" i="7"/>
  <c r="AJ335" i="7"/>
  <c r="AI335" i="7"/>
  <c r="AH335" i="7"/>
  <c r="AJ334" i="7"/>
  <c r="AI334" i="7"/>
  <c r="AH334" i="7"/>
  <c r="AJ333" i="7"/>
  <c r="AI333" i="7"/>
  <c r="AH333" i="7"/>
  <c r="AJ332" i="7"/>
  <c r="AI332" i="7"/>
  <c r="AH332" i="7"/>
  <c r="AJ331" i="7"/>
  <c r="AI331" i="7"/>
  <c r="AH331" i="7"/>
  <c r="AJ330" i="7"/>
  <c r="AI330" i="7"/>
  <c r="AH330" i="7"/>
  <c r="AJ329" i="7"/>
  <c r="AI329" i="7"/>
  <c r="AH329" i="7"/>
  <c r="AJ328" i="7"/>
  <c r="AI328" i="7"/>
  <c r="AH328" i="7"/>
  <c r="AJ327" i="7"/>
  <c r="AI327" i="7"/>
  <c r="AH327" i="7"/>
  <c r="AJ326" i="7"/>
  <c r="AI326" i="7"/>
  <c r="AH326" i="7"/>
  <c r="AJ325" i="7"/>
  <c r="AI325" i="7"/>
  <c r="AH325" i="7"/>
  <c r="AJ324" i="7"/>
  <c r="AI324" i="7"/>
  <c r="AH324" i="7"/>
  <c r="AJ323" i="7"/>
  <c r="AI323" i="7"/>
  <c r="AH323" i="7"/>
  <c r="AJ322" i="7"/>
  <c r="AI322" i="7"/>
  <c r="AH322" i="7"/>
  <c r="AJ321" i="7"/>
  <c r="AI321" i="7"/>
  <c r="AH321" i="7"/>
  <c r="AJ320" i="7"/>
  <c r="AI320" i="7"/>
  <c r="AH320" i="7"/>
  <c r="AJ319" i="7"/>
  <c r="AI319" i="7"/>
  <c r="AH319" i="7"/>
  <c r="AJ318" i="7"/>
  <c r="AI318" i="7"/>
  <c r="AH318" i="7"/>
  <c r="AJ317" i="7"/>
  <c r="AI317" i="7"/>
  <c r="AH317" i="7"/>
  <c r="AJ316" i="7"/>
  <c r="AI316" i="7"/>
  <c r="AH316" i="7"/>
  <c r="AJ315" i="7"/>
  <c r="AI315" i="7"/>
  <c r="AH315" i="7"/>
  <c r="AJ314" i="7"/>
  <c r="AI314" i="7"/>
  <c r="AH314" i="7"/>
  <c r="AJ313" i="7"/>
  <c r="AI313" i="7"/>
  <c r="AH313" i="7"/>
  <c r="AJ312" i="7"/>
  <c r="AI312" i="7"/>
  <c r="AH312" i="7"/>
  <c r="AJ311" i="7"/>
  <c r="AI311" i="7"/>
  <c r="AH311" i="7"/>
  <c r="AJ310" i="7"/>
  <c r="AI310" i="7"/>
  <c r="AH310" i="7"/>
  <c r="AJ309" i="7"/>
  <c r="AI309" i="7"/>
  <c r="AH309" i="7"/>
  <c r="AJ308" i="7"/>
  <c r="AI308" i="7"/>
  <c r="AH308" i="7"/>
  <c r="AJ307" i="7"/>
  <c r="AI307" i="7"/>
  <c r="AH307" i="7"/>
  <c r="AJ306" i="7"/>
  <c r="AI306" i="7"/>
  <c r="AH306" i="7"/>
  <c r="AJ304" i="7"/>
  <c r="AI304" i="7"/>
  <c r="AH304" i="7"/>
  <c r="AJ303" i="7"/>
  <c r="AI303" i="7"/>
  <c r="AH303" i="7"/>
  <c r="AJ302" i="7"/>
  <c r="AI302" i="7"/>
  <c r="AH302" i="7"/>
  <c r="AJ301" i="7"/>
  <c r="AI301" i="7"/>
  <c r="AH301" i="7"/>
  <c r="AJ300" i="7"/>
  <c r="AI300" i="7"/>
  <c r="AH300" i="7"/>
  <c r="AJ299" i="7"/>
  <c r="AI299" i="7"/>
  <c r="AH299" i="7"/>
  <c r="AJ298" i="7"/>
  <c r="AI298" i="7"/>
  <c r="AH298" i="7"/>
  <c r="AJ297" i="7"/>
  <c r="AI297" i="7"/>
  <c r="AH297" i="7"/>
  <c r="AJ296" i="7"/>
  <c r="AI296" i="7"/>
  <c r="AH296" i="7"/>
  <c r="AJ295" i="7"/>
  <c r="AI295" i="7"/>
  <c r="AH295" i="7"/>
  <c r="AJ294" i="7"/>
  <c r="AI294" i="7"/>
  <c r="AH294" i="7"/>
  <c r="AJ293" i="7"/>
  <c r="AI293" i="7"/>
  <c r="AH293" i="7"/>
  <c r="AJ292" i="7"/>
  <c r="AI292" i="7"/>
  <c r="AH292" i="7"/>
  <c r="AJ291" i="7"/>
  <c r="AI291" i="7"/>
  <c r="AH291" i="7"/>
  <c r="AJ290" i="7"/>
  <c r="AI290" i="7"/>
  <c r="AH290" i="7"/>
  <c r="AJ289" i="7"/>
  <c r="AI289" i="7"/>
  <c r="AH289" i="7"/>
  <c r="AJ288" i="7"/>
  <c r="AI288" i="7"/>
  <c r="AH288" i="7"/>
  <c r="AJ287" i="7"/>
  <c r="AI287" i="7"/>
  <c r="AH287" i="7"/>
  <c r="AJ286" i="7"/>
  <c r="AI286" i="7"/>
  <c r="AH286" i="7"/>
  <c r="AJ285" i="7"/>
  <c r="AI285" i="7"/>
  <c r="AH285" i="7"/>
  <c r="AJ284" i="7"/>
  <c r="AI284" i="7"/>
  <c r="AH284" i="7"/>
  <c r="AJ283" i="7"/>
  <c r="AI283" i="7"/>
  <c r="AH283" i="7"/>
  <c r="AJ282" i="7"/>
  <c r="AI282" i="7"/>
  <c r="AH282" i="7"/>
  <c r="AJ281" i="7"/>
  <c r="AI281" i="7"/>
  <c r="AH281" i="7"/>
  <c r="AJ280" i="7"/>
  <c r="AI280" i="7"/>
  <c r="AH280" i="7"/>
  <c r="AJ279" i="7"/>
  <c r="AI279" i="7"/>
  <c r="AH279" i="7"/>
  <c r="AJ278" i="7"/>
  <c r="AI278" i="7"/>
  <c r="AH278" i="7"/>
  <c r="AJ277" i="7"/>
  <c r="AI277" i="7"/>
  <c r="AH277" i="7"/>
  <c r="AJ276" i="7"/>
  <c r="AI276" i="7"/>
  <c r="AH276" i="7"/>
  <c r="AJ275" i="7"/>
  <c r="AI275" i="7"/>
  <c r="AH275" i="7"/>
  <c r="AJ274" i="7"/>
  <c r="AI274" i="7"/>
  <c r="AH274" i="7"/>
  <c r="AJ273" i="7"/>
  <c r="AI273" i="7"/>
  <c r="AH273" i="7"/>
  <c r="AJ272" i="7"/>
  <c r="AI272" i="7"/>
  <c r="AH272" i="7"/>
  <c r="AJ271" i="7"/>
  <c r="AI271" i="7"/>
  <c r="AH271" i="7"/>
  <c r="AJ270" i="7"/>
  <c r="AI270" i="7"/>
  <c r="AH270" i="7"/>
  <c r="AJ269" i="7"/>
  <c r="AI269" i="7"/>
  <c r="AH269" i="7"/>
  <c r="AJ268" i="7"/>
  <c r="AI268" i="7"/>
  <c r="AH268" i="7"/>
  <c r="AJ267" i="7"/>
  <c r="AI267" i="7"/>
  <c r="AH267" i="7"/>
  <c r="AJ266" i="7"/>
  <c r="AI266" i="7"/>
  <c r="AH266" i="7"/>
  <c r="AJ265" i="7"/>
  <c r="AI265" i="7"/>
  <c r="AH265" i="7"/>
  <c r="AJ264" i="7"/>
  <c r="AI264" i="7"/>
  <c r="AH264" i="7"/>
  <c r="AJ263" i="7"/>
  <c r="AI263" i="7"/>
  <c r="AH263" i="7"/>
  <c r="AJ262" i="7"/>
  <c r="AI262" i="7"/>
  <c r="AH262" i="7"/>
  <c r="AJ261" i="7"/>
  <c r="AI261" i="7"/>
  <c r="AH261" i="7"/>
  <c r="AJ260" i="7"/>
  <c r="AI260" i="7"/>
  <c r="AH260" i="7"/>
  <c r="AJ259" i="7"/>
  <c r="AI259" i="7"/>
  <c r="AH259" i="7"/>
  <c r="AJ258" i="7"/>
  <c r="AI258" i="7"/>
  <c r="AH258" i="7"/>
  <c r="AJ257" i="7"/>
  <c r="AI257" i="7"/>
  <c r="AH257" i="7"/>
  <c r="AJ256" i="7"/>
  <c r="AI256" i="7"/>
  <c r="AH256" i="7"/>
  <c r="AJ255" i="7"/>
  <c r="AI255" i="7"/>
  <c r="AH255" i="7"/>
  <c r="AJ254" i="7"/>
  <c r="AI254" i="7"/>
  <c r="AH254" i="7"/>
  <c r="AJ253" i="7"/>
  <c r="AI253" i="7"/>
  <c r="AH253" i="7"/>
  <c r="AJ252" i="7"/>
  <c r="AI252" i="7"/>
  <c r="AH252" i="7"/>
  <c r="AJ251" i="7"/>
  <c r="AI251" i="7"/>
  <c r="AH251" i="7"/>
  <c r="AJ250" i="7"/>
  <c r="AI250" i="7"/>
  <c r="AH250" i="7"/>
  <c r="AJ249" i="7"/>
  <c r="AI249" i="7"/>
  <c r="AH249" i="7"/>
  <c r="AJ248" i="7"/>
  <c r="AI248" i="7"/>
  <c r="AH248" i="7"/>
  <c r="AJ247" i="7"/>
  <c r="AI247" i="7"/>
  <c r="AH247" i="7"/>
  <c r="AJ246" i="7"/>
  <c r="AI246" i="7"/>
  <c r="AH246" i="7"/>
  <c r="AJ245" i="7"/>
  <c r="AI245" i="7"/>
  <c r="AH245" i="7"/>
  <c r="AJ244" i="7"/>
  <c r="AI244" i="7"/>
  <c r="AH244" i="7"/>
  <c r="AG244" i="7"/>
  <c r="AF244" i="7"/>
  <c r="AE244" i="7"/>
  <c r="AD244" i="7"/>
  <c r="AC244" i="7"/>
  <c r="AB244" i="7"/>
  <c r="AA244" i="7"/>
  <c r="Z244" i="7"/>
  <c r="Y244" i="7"/>
  <c r="X244" i="7"/>
  <c r="W244" i="7"/>
  <c r="V244" i="7"/>
  <c r="U244" i="7"/>
  <c r="T244" i="7"/>
  <c r="S244" i="7"/>
  <c r="R244" i="7"/>
  <c r="Q244" i="7"/>
  <c r="P244" i="7"/>
  <c r="O244" i="7"/>
  <c r="N244" i="7"/>
  <c r="M244" i="7"/>
  <c r="L244" i="7"/>
  <c r="K244" i="7"/>
  <c r="J244" i="7"/>
  <c r="I244" i="7"/>
  <c r="H244" i="7"/>
  <c r="G244" i="7"/>
  <c r="F244" i="7"/>
  <c r="E244" i="7"/>
  <c r="D244" i="7"/>
  <c r="C244" i="7"/>
  <c r="AJ243" i="7"/>
  <c r="AI243" i="7"/>
  <c r="AH243" i="7"/>
  <c r="AJ242" i="7"/>
  <c r="AI242" i="7"/>
  <c r="AH242" i="7"/>
  <c r="AJ241" i="7"/>
  <c r="AI241" i="7"/>
  <c r="AH241" i="7"/>
  <c r="AJ240" i="7"/>
  <c r="AI240" i="7"/>
  <c r="AH240" i="7"/>
  <c r="AJ239" i="7"/>
  <c r="AI239" i="7"/>
  <c r="AH239" i="7"/>
  <c r="AJ238" i="7"/>
  <c r="AI238" i="7"/>
  <c r="AH238" i="7"/>
  <c r="AJ237" i="7"/>
  <c r="AI237" i="7"/>
  <c r="AH237" i="7"/>
  <c r="AJ236" i="7"/>
  <c r="AI236" i="7"/>
  <c r="AH236" i="7"/>
  <c r="AJ235" i="7"/>
  <c r="AI235" i="7"/>
  <c r="AH235" i="7"/>
  <c r="AJ234" i="7"/>
  <c r="AI234" i="7"/>
  <c r="AH234" i="7"/>
  <c r="AJ233" i="7"/>
  <c r="AI233" i="7"/>
  <c r="AH233" i="7"/>
  <c r="AJ232" i="7"/>
  <c r="AI232" i="7"/>
  <c r="AH232" i="7"/>
  <c r="AJ231" i="7"/>
  <c r="AI231" i="7"/>
  <c r="AH231" i="7"/>
  <c r="AJ230" i="7"/>
  <c r="AI230" i="7"/>
  <c r="AH230" i="7"/>
  <c r="AJ229" i="7"/>
  <c r="AI229" i="7"/>
  <c r="AH229" i="7"/>
  <c r="AJ228" i="7"/>
  <c r="AI228" i="7"/>
  <c r="AH228" i="7"/>
  <c r="AJ227" i="7"/>
  <c r="AI227" i="7"/>
  <c r="AH227" i="7"/>
  <c r="AJ226" i="7"/>
  <c r="AI226" i="7"/>
  <c r="AH226" i="7"/>
  <c r="AJ225" i="7"/>
  <c r="AI225" i="7"/>
  <c r="AH225" i="7"/>
  <c r="AJ224" i="7"/>
  <c r="AI224" i="7"/>
  <c r="AH224" i="7"/>
  <c r="AJ223" i="7"/>
  <c r="AI223" i="7"/>
  <c r="AH223" i="7"/>
  <c r="AJ222" i="7"/>
  <c r="AI222" i="7"/>
  <c r="AH222" i="7"/>
  <c r="AJ221" i="7"/>
  <c r="AI221" i="7"/>
  <c r="AH221" i="7"/>
  <c r="AJ220" i="7"/>
  <c r="AI220" i="7"/>
  <c r="AH220" i="7"/>
  <c r="AJ219" i="7"/>
  <c r="AI219" i="7"/>
  <c r="AH219" i="7"/>
  <c r="AJ218" i="7"/>
  <c r="AI218" i="7"/>
  <c r="AH218" i="7"/>
  <c r="AJ217" i="7"/>
  <c r="AI217" i="7"/>
  <c r="AH217" i="7"/>
  <c r="AJ216" i="7"/>
  <c r="AI216" i="7"/>
  <c r="AH216" i="7"/>
  <c r="AJ215" i="7"/>
  <c r="AI215" i="7"/>
  <c r="AH215" i="7"/>
  <c r="AJ214" i="7"/>
  <c r="AI214" i="7"/>
  <c r="AH214" i="7"/>
  <c r="AJ213" i="7"/>
  <c r="AI213" i="7"/>
  <c r="AH213" i="7"/>
  <c r="AJ212" i="7"/>
  <c r="AI212" i="7"/>
  <c r="AH212" i="7"/>
  <c r="AJ211" i="7"/>
  <c r="AI211" i="7"/>
  <c r="AH211" i="7"/>
  <c r="AJ210" i="7"/>
  <c r="AI210" i="7"/>
  <c r="AH210" i="7"/>
  <c r="AJ209" i="7"/>
  <c r="AI209" i="7"/>
  <c r="AH209" i="7"/>
  <c r="AJ208" i="7"/>
  <c r="AI208" i="7"/>
  <c r="AH208" i="7"/>
  <c r="AJ207" i="7"/>
  <c r="AI207" i="7"/>
  <c r="AH207" i="7"/>
  <c r="AJ206" i="7"/>
  <c r="AI206" i="7"/>
  <c r="AH206" i="7"/>
  <c r="AJ205" i="7"/>
  <c r="AI205" i="7"/>
  <c r="AH205" i="7"/>
  <c r="AJ204" i="7"/>
  <c r="AI204" i="7"/>
  <c r="AH204" i="7"/>
  <c r="AJ203" i="7"/>
  <c r="AI203" i="7"/>
  <c r="AH203" i="7"/>
  <c r="AJ202" i="7"/>
  <c r="AI202" i="7"/>
  <c r="AH202" i="7"/>
  <c r="AJ201" i="7"/>
  <c r="AI201" i="7"/>
  <c r="AH201" i="7"/>
  <c r="AJ200" i="7"/>
  <c r="AI200" i="7"/>
  <c r="AH200" i="7"/>
  <c r="AJ199" i="7"/>
  <c r="AI199" i="7"/>
  <c r="AH199" i="7"/>
  <c r="AJ198" i="7"/>
  <c r="AI198" i="7"/>
  <c r="AH198" i="7"/>
  <c r="AJ197" i="7"/>
  <c r="AI197" i="7"/>
  <c r="AH197" i="7"/>
  <c r="AJ196" i="7"/>
  <c r="AI196" i="7"/>
  <c r="AH196" i="7"/>
  <c r="AJ195" i="7"/>
  <c r="AI195" i="7"/>
  <c r="AH195" i="7"/>
  <c r="AJ194" i="7"/>
  <c r="AI194" i="7"/>
  <c r="AH194" i="7"/>
  <c r="AJ193" i="7"/>
  <c r="AI193" i="7"/>
  <c r="AH193" i="7"/>
  <c r="AJ192" i="7"/>
  <c r="AI192" i="7"/>
  <c r="AH192" i="7"/>
  <c r="AJ191" i="7"/>
  <c r="AI191" i="7"/>
  <c r="AH191" i="7"/>
  <c r="AJ190" i="7"/>
  <c r="AI190" i="7"/>
  <c r="AH190" i="7"/>
  <c r="AJ189" i="7"/>
  <c r="AI189" i="7"/>
  <c r="AH189" i="7"/>
  <c r="AJ188" i="7"/>
  <c r="AI188" i="7"/>
  <c r="AH188" i="7"/>
  <c r="AJ187" i="7"/>
  <c r="AI187" i="7"/>
  <c r="AH187" i="7"/>
  <c r="AJ186" i="7"/>
  <c r="AI186" i="7"/>
  <c r="AH186" i="7"/>
  <c r="AJ185" i="7"/>
  <c r="AI185" i="7"/>
  <c r="AH185" i="7"/>
  <c r="AJ184" i="7"/>
  <c r="AI184" i="7"/>
  <c r="AH184" i="7"/>
  <c r="AJ183" i="7"/>
  <c r="AI183" i="7"/>
  <c r="AH183" i="7"/>
  <c r="AJ182" i="7"/>
  <c r="AI182" i="7"/>
  <c r="AH182" i="7"/>
  <c r="AJ181" i="7"/>
  <c r="AI181" i="7"/>
  <c r="AH181" i="7"/>
  <c r="AJ180" i="7"/>
  <c r="AI180" i="7"/>
  <c r="AH180" i="7"/>
  <c r="AJ179" i="7"/>
  <c r="AI179" i="7"/>
  <c r="AH179" i="7"/>
  <c r="AJ178" i="7"/>
  <c r="AI178" i="7"/>
  <c r="AH178" i="7"/>
  <c r="AJ177" i="7"/>
  <c r="AI177" i="7"/>
  <c r="AH177" i="7"/>
  <c r="AJ176" i="7"/>
  <c r="AI176" i="7"/>
  <c r="AH176" i="7"/>
  <c r="AJ175" i="7"/>
  <c r="AI175" i="7"/>
  <c r="AH175" i="7"/>
  <c r="AJ174" i="7"/>
  <c r="AI174" i="7"/>
  <c r="AH174" i="7"/>
  <c r="AJ173" i="7"/>
  <c r="AI173" i="7"/>
  <c r="AH173" i="7"/>
  <c r="AJ172" i="7"/>
  <c r="AI172" i="7"/>
  <c r="AH172" i="7"/>
  <c r="AJ171" i="7"/>
  <c r="AI171" i="7"/>
  <c r="AH171" i="7"/>
  <c r="AJ170" i="7"/>
  <c r="AI170" i="7"/>
  <c r="AH170" i="7"/>
  <c r="AJ169" i="7"/>
  <c r="AI169" i="7"/>
  <c r="AH169" i="7"/>
  <c r="AJ168" i="7"/>
  <c r="AI168" i="7"/>
  <c r="AH168" i="7"/>
  <c r="AJ167" i="7"/>
  <c r="AI167" i="7"/>
  <c r="AH167" i="7"/>
  <c r="AJ166" i="7"/>
  <c r="AI166" i="7"/>
  <c r="AH166" i="7"/>
  <c r="AJ165" i="7"/>
  <c r="AI165" i="7"/>
  <c r="AH165" i="7"/>
  <c r="AJ164" i="7"/>
  <c r="AI164" i="7"/>
  <c r="AH164" i="7"/>
  <c r="AJ163" i="7"/>
  <c r="AI163" i="7"/>
  <c r="AH163" i="7"/>
  <c r="AG163" i="7"/>
  <c r="AF163" i="7"/>
  <c r="AE163" i="7"/>
  <c r="AD163" i="7"/>
  <c r="AC163" i="7"/>
  <c r="AB163" i="7"/>
  <c r="AA163" i="7"/>
  <c r="Z163" i="7"/>
  <c r="Y163" i="7"/>
  <c r="X163" i="7"/>
  <c r="W163" i="7"/>
  <c r="V163" i="7"/>
  <c r="U163" i="7"/>
  <c r="T163" i="7"/>
  <c r="S163" i="7"/>
  <c r="R163" i="7"/>
  <c r="Q163" i="7"/>
  <c r="P163" i="7"/>
  <c r="O163" i="7"/>
  <c r="N163" i="7"/>
  <c r="M163" i="7"/>
  <c r="L163" i="7"/>
  <c r="K163" i="7"/>
  <c r="J163" i="7"/>
  <c r="I163" i="7"/>
  <c r="H163" i="7"/>
  <c r="G163" i="7"/>
  <c r="F163" i="7"/>
  <c r="E163" i="7"/>
  <c r="D163" i="7"/>
  <c r="C163" i="7"/>
  <c r="AJ162" i="7"/>
  <c r="AI162" i="7"/>
  <c r="AH162" i="7"/>
  <c r="AJ161" i="7"/>
  <c r="AI161" i="7"/>
  <c r="AH161" i="7"/>
  <c r="AJ160" i="7"/>
  <c r="AI160" i="7"/>
  <c r="AH160" i="7"/>
  <c r="AJ159" i="7"/>
  <c r="AI159" i="7"/>
  <c r="AH159" i="7"/>
  <c r="AJ158" i="7"/>
  <c r="AI158" i="7"/>
  <c r="AH158" i="7"/>
  <c r="AJ157" i="7"/>
  <c r="AI157" i="7"/>
  <c r="AH157" i="7"/>
  <c r="AJ156" i="7"/>
  <c r="AI156" i="7"/>
  <c r="AH156" i="7"/>
  <c r="AJ155" i="7"/>
  <c r="AI155" i="7"/>
  <c r="AH155" i="7"/>
  <c r="AJ154" i="7"/>
  <c r="AI154" i="7"/>
  <c r="AH154" i="7"/>
  <c r="AJ153" i="7"/>
  <c r="AI153" i="7"/>
  <c r="AH153" i="7"/>
  <c r="AJ152" i="7"/>
  <c r="AI152" i="7"/>
  <c r="AH152" i="7"/>
  <c r="AJ151" i="7"/>
  <c r="AI151" i="7"/>
  <c r="AH151" i="7"/>
  <c r="AJ150" i="7"/>
  <c r="AI150" i="7"/>
  <c r="AH150" i="7"/>
  <c r="AJ149" i="7"/>
  <c r="AI149" i="7"/>
  <c r="AH149" i="7"/>
  <c r="AJ148" i="7"/>
  <c r="AI148" i="7"/>
  <c r="AH148" i="7"/>
  <c r="AJ147" i="7"/>
  <c r="AI147" i="7"/>
  <c r="AH147" i="7"/>
  <c r="AJ146" i="7"/>
  <c r="AI146" i="7"/>
  <c r="AH146" i="7"/>
  <c r="AJ145" i="7"/>
  <c r="AI145" i="7"/>
  <c r="AH145" i="7"/>
  <c r="AJ144" i="7"/>
  <c r="AI144" i="7"/>
  <c r="AH144" i="7"/>
  <c r="AJ143" i="7"/>
  <c r="AI143" i="7"/>
  <c r="AH143" i="7"/>
  <c r="AJ142" i="7"/>
  <c r="AI142" i="7"/>
  <c r="AH142" i="7"/>
  <c r="AJ141" i="7"/>
  <c r="AI141" i="7"/>
  <c r="AH141" i="7"/>
  <c r="AJ140" i="7"/>
  <c r="AI140" i="7"/>
  <c r="AH140" i="7"/>
  <c r="AJ139" i="7"/>
  <c r="AI139" i="7"/>
  <c r="AH139" i="7"/>
  <c r="AJ138" i="7"/>
  <c r="AI138" i="7"/>
  <c r="AH138" i="7"/>
  <c r="AJ137" i="7"/>
  <c r="AI137" i="7"/>
  <c r="AH137" i="7"/>
  <c r="AJ136" i="7"/>
  <c r="AI136" i="7"/>
  <c r="AH136" i="7"/>
  <c r="AJ135" i="7"/>
  <c r="AI135" i="7"/>
  <c r="AH135" i="7"/>
  <c r="AJ134" i="7"/>
  <c r="AI134" i="7"/>
  <c r="AH134" i="7"/>
  <c r="AJ133" i="7"/>
  <c r="AI133" i="7"/>
  <c r="AH133" i="7"/>
  <c r="AJ132" i="7"/>
  <c r="AI132" i="7"/>
  <c r="AH132" i="7"/>
  <c r="AJ131" i="7"/>
  <c r="AI131" i="7"/>
  <c r="AH131" i="7"/>
  <c r="AJ130" i="7"/>
  <c r="AI130" i="7"/>
  <c r="AH130" i="7"/>
  <c r="AJ129" i="7"/>
  <c r="AI129" i="7"/>
  <c r="AH129" i="7"/>
  <c r="AJ128" i="7"/>
  <c r="AI128" i="7"/>
  <c r="AH128" i="7"/>
  <c r="AJ127" i="7"/>
  <c r="AI127" i="7"/>
  <c r="AH127" i="7"/>
  <c r="AJ126" i="7"/>
  <c r="AI126" i="7"/>
  <c r="AH126" i="7"/>
  <c r="AJ125" i="7"/>
  <c r="AI125" i="7"/>
  <c r="AH125" i="7"/>
  <c r="AJ124" i="7"/>
  <c r="AI124" i="7"/>
  <c r="AH124" i="7"/>
  <c r="AJ123" i="7"/>
  <c r="AI123" i="7"/>
  <c r="AH123" i="7"/>
  <c r="AJ122" i="7"/>
  <c r="AI122" i="7"/>
  <c r="AH122" i="7"/>
  <c r="AJ121" i="7"/>
  <c r="AI121" i="7"/>
  <c r="AH121" i="7"/>
  <c r="AJ120" i="7"/>
  <c r="AI120" i="7"/>
  <c r="AH120" i="7"/>
  <c r="AJ119" i="7"/>
  <c r="AI119" i="7"/>
  <c r="AH119" i="7"/>
  <c r="AJ118" i="7"/>
  <c r="AI118" i="7"/>
  <c r="AH118" i="7"/>
  <c r="AJ117" i="7"/>
  <c r="AI117" i="7"/>
  <c r="AH117" i="7"/>
  <c r="AJ116" i="7"/>
  <c r="AI116" i="7"/>
  <c r="AH116" i="7"/>
  <c r="AJ115" i="7"/>
  <c r="AI115" i="7"/>
  <c r="AH115" i="7"/>
  <c r="AJ114" i="7"/>
  <c r="AI114" i="7"/>
  <c r="AH114" i="7"/>
  <c r="AJ113" i="7"/>
  <c r="AI113" i="7"/>
  <c r="AH113" i="7"/>
  <c r="AJ112" i="7"/>
  <c r="AI112" i="7"/>
  <c r="AH112" i="7"/>
  <c r="AJ111" i="7"/>
  <c r="AI111" i="7"/>
  <c r="AH111" i="7"/>
  <c r="AJ110" i="7"/>
  <c r="AI110" i="7"/>
  <c r="AH110" i="7"/>
  <c r="AJ109" i="7"/>
  <c r="AI109" i="7"/>
  <c r="AH109" i="7"/>
  <c r="AJ108" i="7"/>
  <c r="AI108" i="7"/>
  <c r="AH108" i="7"/>
  <c r="AJ107" i="7"/>
  <c r="AI107" i="7"/>
  <c r="AH107" i="7"/>
  <c r="AJ106" i="7"/>
  <c r="AI106" i="7"/>
  <c r="AH106" i="7"/>
  <c r="AJ105" i="7"/>
  <c r="AI105" i="7"/>
  <c r="AH105" i="7"/>
  <c r="AJ104" i="7"/>
  <c r="AI104" i="7"/>
  <c r="AH104" i="7"/>
  <c r="AJ103" i="7"/>
  <c r="AI103" i="7"/>
  <c r="AH103" i="7"/>
  <c r="AJ102" i="7"/>
  <c r="AI102" i="7"/>
  <c r="AH102" i="7"/>
  <c r="AJ101" i="7"/>
  <c r="AI101" i="7"/>
  <c r="AH101" i="7"/>
  <c r="AJ100" i="7"/>
  <c r="AI100" i="7"/>
  <c r="AH100" i="7"/>
  <c r="AJ99" i="7"/>
  <c r="AI99" i="7"/>
  <c r="AH99" i="7"/>
  <c r="AJ98" i="7"/>
  <c r="AI98" i="7"/>
  <c r="AH98" i="7"/>
  <c r="AJ97" i="7"/>
  <c r="AI97" i="7"/>
  <c r="AH97" i="7"/>
  <c r="AJ96" i="7"/>
  <c r="AI96" i="7"/>
  <c r="AH96" i="7"/>
  <c r="AJ95" i="7"/>
  <c r="AI95" i="7"/>
  <c r="AH95" i="7"/>
  <c r="AJ94" i="7"/>
  <c r="AI94" i="7"/>
  <c r="AH94" i="7"/>
  <c r="AJ93" i="7"/>
  <c r="AI93" i="7"/>
  <c r="AH93" i="7"/>
  <c r="AJ92" i="7"/>
  <c r="AI92" i="7"/>
  <c r="AH92" i="7"/>
  <c r="AJ91" i="7"/>
  <c r="AI91" i="7"/>
  <c r="AH91" i="7"/>
  <c r="AJ90" i="7"/>
  <c r="AI90" i="7"/>
  <c r="AH90" i="7"/>
  <c r="AJ89" i="7"/>
  <c r="AI89" i="7"/>
  <c r="AH89" i="7"/>
  <c r="AJ88" i="7"/>
  <c r="AI88" i="7"/>
  <c r="AH88" i="7"/>
  <c r="AJ87" i="7"/>
  <c r="AI87" i="7"/>
  <c r="AH87" i="7"/>
  <c r="AJ86" i="7"/>
  <c r="AI86" i="7"/>
  <c r="AH86" i="7"/>
  <c r="AJ85" i="7"/>
  <c r="AI85" i="7"/>
  <c r="AH85" i="7"/>
  <c r="AJ84" i="7"/>
  <c r="AI84" i="7"/>
  <c r="AH84" i="7"/>
  <c r="AJ83" i="7"/>
  <c r="AI83" i="7"/>
  <c r="AH83" i="7"/>
  <c r="AJ82" i="7"/>
  <c r="AI82" i="7"/>
  <c r="AH82" i="7"/>
  <c r="AG82" i="7"/>
  <c r="AF82" i="7"/>
  <c r="AE82" i="7"/>
  <c r="AD82" i="7"/>
  <c r="AC82" i="7"/>
  <c r="AB82" i="7"/>
  <c r="AA82" i="7"/>
  <c r="Z82" i="7"/>
  <c r="Y82" i="7"/>
  <c r="X82" i="7"/>
  <c r="W82" i="7"/>
  <c r="V82" i="7"/>
  <c r="U82" i="7"/>
  <c r="T82" i="7"/>
  <c r="S82" i="7"/>
  <c r="R82" i="7"/>
  <c r="Q82" i="7"/>
  <c r="P82" i="7"/>
  <c r="O82" i="7"/>
  <c r="N82" i="7"/>
  <c r="M82" i="7"/>
  <c r="L82" i="7"/>
  <c r="K82" i="7"/>
  <c r="J82" i="7"/>
  <c r="I82" i="7"/>
  <c r="H82" i="7"/>
  <c r="G82" i="7"/>
  <c r="F82" i="7"/>
  <c r="E82" i="7"/>
  <c r="D82" i="7"/>
  <c r="C82" i="7"/>
  <c r="AJ81" i="7"/>
  <c r="AI81" i="7"/>
  <c r="AH81" i="7"/>
  <c r="AJ80" i="7"/>
  <c r="AI80" i="7"/>
  <c r="AH80" i="7"/>
  <c r="AJ79" i="7"/>
  <c r="AI79" i="7"/>
  <c r="AH79" i="7"/>
  <c r="AJ78" i="7"/>
  <c r="AI78" i="7"/>
  <c r="AH78" i="7"/>
  <c r="AJ77" i="7"/>
  <c r="AI77" i="7"/>
  <c r="AH77" i="7"/>
  <c r="AJ76" i="7"/>
  <c r="AI76" i="7"/>
  <c r="AH76" i="7"/>
  <c r="AJ75" i="7"/>
  <c r="AI75" i="7"/>
  <c r="AH75" i="7"/>
  <c r="AJ74" i="7"/>
  <c r="AI74" i="7"/>
  <c r="AH74" i="7"/>
  <c r="AJ73" i="7"/>
  <c r="AI73" i="7"/>
  <c r="AH73" i="7"/>
  <c r="AJ72" i="7"/>
  <c r="AI72" i="7"/>
  <c r="AH72" i="7"/>
  <c r="AJ71" i="7"/>
  <c r="AI71" i="7"/>
  <c r="AH71" i="7"/>
  <c r="AJ70" i="7"/>
  <c r="AI70" i="7"/>
  <c r="AH70" i="7"/>
  <c r="AJ69" i="7"/>
  <c r="AI69" i="7"/>
  <c r="AH69" i="7"/>
  <c r="AJ68" i="7"/>
  <c r="AI68" i="7"/>
  <c r="AH68" i="7"/>
  <c r="AJ67" i="7"/>
  <c r="AI67" i="7"/>
  <c r="AH67" i="7"/>
  <c r="AJ66" i="7"/>
  <c r="AI66" i="7"/>
  <c r="AH66" i="7"/>
  <c r="AJ65" i="7"/>
  <c r="AI65" i="7"/>
  <c r="AH65" i="7"/>
  <c r="AJ64" i="7"/>
  <c r="AI64" i="7"/>
  <c r="AH64" i="7"/>
  <c r="AJ63" i="7"/>
  <c r="AI63" i="7"/>
  <c r="AH63" i="7"/>
  <c r="AJ62" i="7"/>
  <c r="AI62" i="7"/>
  <c r="AH62" i="7"/>
  <c r="AJ61" i="7"/>
  <c r="AI61" i="7"/>
  <c r="AH61" i="7"/>
  <c r="AJ60" i="7"/>
  <c r="AI60" i="7"/>
  <c r="AH60" i="7"/>
  <c r="AJ59" i="7"/>
  <c r="AI59" i="7"/>
  <c r="AH59" i="7"/>
  <c r="AJ58" i="7"/>
  <c r="AI58" i="7"/>
  <c r="AH58" i="7"/>
  <c r="AJ57" i="7"/>
  <c r="AI57" i="7"/>
  <c r="AH57" i="7"/>
  <c r="AJ56" i="7"/>
  <c r="AI56" i="7"/>
  <c r="AH56" i="7"/>
  <c r="AJ55" i="7"/>
  <c r="AI55" i="7"/>
  <c r="AH55" i="7"/>
  <c r="AJ54" i="7"/>
  <c r="AI54" i="7"/>
  <c r="AH54" i="7"/>
  <c r="AJ53" i="7"/>
  <c r="AI53" i="7"/>
  <c r="AH53" i="7"/>
  <c r="AJ52" i="7"/>
  <c r="AI52" i="7"/>
  <c r="AH52" i="7"/>
  <c r="AJ51" i="7"/>
  <c r="AI51" i="7"/>
  <c r="AH51" i="7"/>
  <c r="AJ50" i="7"/>
  <c r="AI50" i="7"/>
  <c r="AH50" i="7"/>
  <c r="AJ49" i="7"/>
  <c r="AI49" i="7"/>
  <c r="AH49" i="7"/>
  <c r="AJ48" i="7"/>
  <c r="AI48" i="7"/>
  <c r="AH48" i="7"/>
  <c r="AJ47" i="7"/>
  <c r="AI47" i="7"/>
  <c r="AH47" i="7"/>
  <c r="AJ46" i="7"/>
  <c r="AI46" i="7"/>
  <c r="AH46" i="7"/>
  <c r="AJ45" i="7"/>
  <c r="AI45" i="7"/>
  <c r="AH45" i="7"/>
  <c r="AJ44" i="7"/>
  <c r="AI44" i="7"/>
  <c r="AH44" i="7"/>
  <c r="AJ43" i="7"/>
  <c r="AI43" i="7"/>
  <c r="AH43" i="7"/>
  <c r="AJ42" i="7"/>
  <c r="AI42" i="7"/>
  <c r="AH42" i="7"/>
  <c r="AJ41" i="7"/>
  <c r="AI41" i="7"/>
  <c r="AH41" i="7"/>
  <c r="AJ40" i="7"/>
  <c r="AI40" i="7"/>
  <c r="AH40" i="7"/>
  <c r="AJ39" i="7"/>
  <c r="AI39" i="7"/>
  <c r="AH39" i="7"/>
  <c r="AJ38" i="7"/>
  <c r="AI38" i="7"/>
  <c r="AH38" i="7"/>
  <c r="AJ37" i="7"/>
  <c r="AI37" i="7"/>
  <c r="AH37" i="7"/>
  <c r="AJ36" i="7"/>
  <c r="AI36" i="7"/>
  <c r="AH36" i="7"/>
  <c r="AJ35" i="7"/>
  <c r="AI35" i="7"/>
  <c r="AH35" i="7"/>
  <c r="AJ34" i="7"/>
  <c r="AI34" i="7"/>
  <c r="AH34" i="7"/>
  <c r="AJ33" i="7"/>
  <c r="AI33" i="7"/>
  <c r="AH33" i="7"/>
  <c r="AJ32" i="7"/>
  <c r="AI32" i="7"/>
  <c r="AH32" i="7"/>
  <c r="AJ31" i="7"/>
  <c r="AI31" i="7"/>
  <c r="AH31" i="7"/>
  <c r="AJ30" i="7"/>
  <c r="AI30" i="7"/>
  <c r="AH30" i="7"/>
  <c r="AJ29" i="7"/>
  <c r="AI29" i="7"/>
  <c r="AH29" i="7"/>
  <c r="AJ28" i="7"/>
  <c r="AI28" i="7"/>
  <c r="AH28" i="7"/>
  <c r="AJ27" i="7"/>
  <c r="AI27" i="7"/>
  <c r="AH27" i="7"/>
  <c r="AJ26" i="7"/>
  <c r="AI26" i="7"/>
  <c r="AH26" i="7"/>
  <c r="AJ25" i="7"/>
  <c r="AI25" i="7"/>
  <c r="AH25" i="7"/>
  <c r="AJ24" i="7"/>
  <c r="AI24" i="7"/>
  <c r="AH24" i="7"/>
  <c r="AJ23" i="7"/>
  <c r="AI23" i="7"/>
  <c r="AH23" i="7"/>
  <c r="AJ22" i="7"/>
  <c r="AI22" i="7"/>
  <c r="AH22" i="7"/>
  <c r="AJ21" i="7"/>
  <c r="AI21" i="7"/>
  <c r="AH21" i="7"/>
  <c r="AJ20" i="7"/>
  <c r="AI20" i="7"/>
  <c r="AH20" i="7"/>
  <c r="AJ19" i="7"/>
  <c r="AI19" i="7"/>
  <c r="AH19" i="7"/>
  <c r="AJ18" i="7"/>
  <c r="AI18" i="7"/>
  <c r="AH18" i="7"/>
  <c r="AJ17" i="7"/>
  <c r="AI17" i="7"/>
  <c r="AH17" i="7"/>
  <c r="AJ16" i="7"/>
  <c r="AI16" i="7"/>
  <c r="AH16" i="7"/>
  <c r="AJ15" i="7"/>
  <c r="AI15" i="7"/>
  <c r="AH15" i="7"/>
  <c r="AJ14" i="7"/>
  <c r="AI14" i="7"/>
  <c r="AH14" i="7"/>
  <c r="AJ13" i="7"/>
  <c r="AI13" i="7"/>
  <c r="AH13" i="7"/>
  <c r="AJ12" i="7"/>
  <c r="AI12" i="7"/>
  <c r="AH12" i="7"/>
  <c r="AJ11" i="7"/>
  <c r="AI11" i="7"/>
  <c r="AH11" i="7"/>
  <c r="AJ10" i="7"/>
  <c r="AI10" i="7"/>
  <c r="AH10" i="7"/>
  <c r="AJ9" i="7"/>
  <c r="AI9" i="7"/>
  <c r="AH9" i="7"/>
  <c r="AN8" i="7"/>
  <c r="AM8" i="7"/>
  <c r="AJ8" i="7"/>
  <c r="AI8" i="7"/>
  <c r="AH8" i="7"/>
  <c r="AN7" i="7"/>
  <c r="AM7" i="7"/>
  <c r="AJ7" i="7"/>
  <c r="AI7" i="7"/>
  <c r="AH7" i="7"/>
  <c r="AN6" i="7"/>
  <c r="AM6" i="7"/>
  <c r="AJ6" i="7"/>
  <c r="AI6" i="7"/>
  <c r="AH6" i="7"/>
  <c r="AN5" i="7"/>
  <c r="AM5" i="7"/>
  <c r="AJ5" i="7"/>
  <c r="AI5" i="7"/>
  <c r="AH5" i="7"/>
  <c r="AN4" i="7"/>
  <c r="AM4" i="7"/>
  <c r="AJ4" i="7"/>
  <c r="AI4" i="7"/>
  <c r="AH4" i="7"/>
  <c r="AN3" i="7"/>
  <c r="AM3" i="7"/>
  <c r="AJ3" i="7"/>
  <c r="AI3" i="7"/>
  <c r="AH3" i="7"/>
  <c r="AJ2" i="7"/>
  <c r="AI2" i="7"/>
  <c r="AH2" i="7"/>
  <c r="D9" i="9"/>
  <c r="C9" i="9"/>
  <c r="B9" i="9"/>
  <c r="D8" i="9"/>
  <c r="C8" i="9"/>
  <c r="B8" i="9"/>
  <c r="D7" i="12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AH129" i="6"/>
  <c r="AG129" i="6"/>
  <c r="AF129" i="6"/>
  <c r="AE129" i="6"/>
  <c r="AD129" i="6"/>
  <c r="AC129" i="6"/>
  <c r="R129" i="6"/>
  <c r="Q129" i="6"/>
  <c r="P129" i="6"/>
  <c r="O129" i="6"/>
  <c r="N129" i="6"/>
  <c r="M129" i="6"/>
  <c r="J129" i="6"/>
  <c r="AH128" i="6"/>
  <c r="AG128" i="6"/>
  <c r="AF128" i="6"/>
  <c r="AE128" i="6"/>
  <c r="AD128" i="6"/>
  <c r="AC128" i="6"/>
  <c r="R128" i="6"/>
  <c r="Q128" i="6"/>
  <c r="P128" i="6"/>
  <c r="N128" i="6"/>
  <c r="M128" i="6"/>
  <c r="J128" i="6"/>
  <c r="AH127" i="6"/>
  <c r="AG127" i="6"/>
  <c r="AF127" i="6"/>
  <c r="AE127" i="6"/>
  <c r="AD127" i="6"/>
  <c r="AC127" i="6"/>
  <c r="Q127" i="6"/>
  <c r="P127" i="6"/>
  <c r="O127" i="6"/>
  <c r="N127" i="6"/>
  <c r="M127" i="6"/>
  <c r="J127" i="6"/>
  <c r="AH126" i="6"/>
  <c r="AG126" i="6"/>
  <c r="AF126" i="6"/>
  <c r="AE126" i="6"/>
  <c r="AD126" i="6"/>
  <c r="AC126" i="6"/>
  <c r="Q126" i="6"/>
  <c r="P126" i="6"/>
  <c r="O126" i="6"/>
  <c r="N126" i="6"/>
  <c r="J126" i="6"/>
  <c r="AH125" i="6"/>
  <c r="AG125" i="6"/>
  <c r="AF125" i="6"/>
  <c r="AE125" i="6"/>
  <c r="AD125" i="6"/>
  <c r="AC125" i="6"/>
  <c r="Q125" i="6"/>
  <c r="M125" i="6"/>
  <c r="J125" i="6"/>
  <c r="AH124" i="6"/>
  <c r="AG124" i="6"/>
  <c r="AF124" i="6"/>
  <c r="AE124" i="6"/>
  <c r="AD124" i="6"/>
  <c r="AC124" i="6"/>
  <c r="Q124" i="6"/>
  <c r="P124" i="6"/>
  <c r="J124" i="6"/>
  <c r="AH123" i="6"/>
  <c r="AG123" i="6"/>
  <c r="AF123" i="6"/>
  <c r="AE123" i="6"/>
  <c r="AD123" i="6"/>
  <c r="AC123" i="6"/>
  <c r="Q123" i="6"/>
  <c r="J123" i="6"/>
  <c r="AH122" i="6"/>
  <c r="AG122" i="6"/>
  <c r="AF122" i="6"/>
  <c r="AE122" i="6"/>
  <c r="AD122" i="6"/>
  <c r="AC122" i="6"/>
  <c r="AH121" i="6"/>
  <c r="AG121" i="6"/>
  <c r="AF121" i="6"/>
  <c r="AE121" i="6"/>
  <c r="AD121" i="6"/>
  <c r="AC121" i="6"/>
  <c r="I119" i="6"/>
  <c r="H119" i="6"/>
  <c r="G119" i="6"/>
  <c r="F119" i="6"/>
  <c r="E119" i="6"/>
  <c r="D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Q95" i="6"/>
  <c r="P95" i="6"/>
  <c r="O95" i="6"/>
  <c r="N95" i="6"/>
  <c r="M95" i="6"/>
  <c r="L95" i="6"/>
  <c r="I95" i="6"/>
  <c r="Q94" i="6"/>
  <c r="P94" i="6"/>
  <c r="O94" i="6"/>
  <c r="N94" i="6"/>
  <c r="M94" i="6"/>
  <c r="L94" i="6"/>
  <c r="I94" i="6"/>
  <c r="Q93" i="6"/>
  <c r="P93" i="6"/>
  <c r="O93" i="6"/>
  <c r="N93" i="6"/>
  <c r="M93" i="6"/>
  <c r="L93" i="6"/>
  <c r="I93" i="6"/>
  <c r="Q92" i="6"/>
  <c r="P92" i="6"/>
  <c r="O92" i="6"/>
  <c r="N92" i="6"/>
  <c r="M92" i="6"/>
  <c r="L92" i="6"/>
  <c r="I92" i="6"/>
  <c r="Q91" i="6"/>
  <c r="P91" i="6"/>
  <c r="O91" i="6"/>
  <c r="N91" i="6"/>
  <c r="M91" i="6"/>
  <c r="L91" i="6"/>
  <c r="I91" i="6"/>
  <c r="Q90" i="6"/>
  <c r="P90" i="6"/>
  <c r="O90" i="6"/>
  <c r="N90" i="6"/>
  <c r="M90" i="6"/>
  <c r="L90" i="6"/>
  <c r="I90" i="6"/>
  <c r="Q89" i="6"/>
  <c r="P89" i="6"/>
  <c r="O89" i="6"/>
  <c r="N89" i="6"/>
  <c r="M89" i="6"/>
  <c r="L89" i="6"/>
  <c r="I89" i="6"/>
  <c r="Q88" i="6"/>
  <c r="P88" i="6"/>
  <c r="O88" i="6"/>
  <c r="N88" i="6"/>
  <c r="M88" i="6"/>
  <c r="L88" i="6"/>
  <c r="I88" i="6"/>
  <c r="V73" i="6"/>
  <c r="V72" i="6"/>
  <c r="W71" i="6"/>
  <c r="V71" i="6"/>
  <c r="U71" i="6"/>
  <c r="T71" i="6"/>
  <c r="S71" i="6"/>
  <c r="W70" i="6"/>
  <c r="V70" i="6"/>
  <c r="U70" i="6"/>
  <c r="T70" i="6"/>
  <c r="S70" i="6"/>
  <c r="W69" i="6"/>
  <c r="V69" i="6"/>
  <c r="U69" i="6"/>
  <c r="T69" i="6"/>
  <c r="S69" i="6"/>
  <c r="W68" i="6"/>
  <c r="V68" i="6"/>
  <c r="U68" i="6"/>
  <c r="T68" i="6"/>
  <c r="S68" i="6"/>
  <c r="W67" i="6"/>
  <c r="V67" i="6"/>
  <c r="U67" i="6"/>
  <c r="T67" i="6"/>
  <c r="S67" i="6"/>
  <c r="W66" i="6"/>
  <c r="V66" i="6"/>
  <c r="U66" i="6"/>
  <c r="T66" i="6"/>
  <c r="S66" i="6"/>
  <c r="W65" i="6"/>
  <c r="V65" i="6"/>
  <c r="U65" i="6"/>
  <c r="T65" i="6"/>
  <c r="S65" i="6"/>
  <c r="W64" i="6"/>
  <c r="V64" i="6"/>
  <c r="U64" i="6"/>
  <c r="T64" i="6"/>
  <c r="S64" i="6"/>
  <c r="W63" i="6"/>
  <c r="V63" i="6"/>
  <c r="U63" i="6"/>
  <c r="T63" i="6"/>
  <c r="S63" i="6"/>
  <c r="W62" i="6"/>
  <c r="V62" i="6"/>
  <c r="U62" i="6"/>
  <c r="T62" i="6"/>
  <c r="S62" i="6"/>
  <c r="W61" i="6"/>
  <c r="V61" i="6"/>
  <c r="U61" i="6"/>
  <c r="T61" i="6"/>
  <c r="S61" i="6"/>
  <c r="W60" i="6"/>
  <c r="V60" i="6"/>
  <c r="U60" i="6"/>
  <c r="T60" i="6"/>
  <c r="S60" i="6"/>
  <c r="W59" i="6"/>
  <c r="V59" i="6"/>
  <c r="U59" i="6"/>
  <c r="T59" i="6"/>
  <c r="S59" i="6"/>
  <c r="W58" i="6"/>
  <c r="V58" i="6"/>
  <c r="U58" i="6"/>
  <c r="T58" i="6"/>
  <c r="S58" i="6"/>
  <c r="W57" i="6"/>
  <c r="V57" i="6"/>
  <c r="U57" i="6"/>
  <c r="T57" i="6"/>
  <c r="S57" i="6"/>
  <c r="W56" i="6"/>
  <c r="V56" i="6"/>
  <c r="U56" i="6"/>
  <c r="T56" i="6"/>
  <c r="S56" i="6"/>
  <c r="W55" i="6"/>
  <c r="V55" i="6"/>
  <c r="U55" i="6"/>
  <c r="T55" i="6"/>
  <c r="S55" i="6"/>
  <c r="W54" i="6"/>
  <c r="V54" i="6"/>
  <c r="U54" i="6"/>
  <c r="T54" i="6"/>
  <c r="S54" i="6"/>
  <c r="W53" i="6"/>
  <c r="V53" i="6"/>
  <c r="U53" i="6"/>
  <c r="T53" i="6"/>
  <c r="S53" i="6"/>
  <c r="W52" i="6"/>
  <c r="V52" i="6"/>
  <c r="U52" i="6"/>
  <c r="T52" i="6"/>
  <c r="S52" i="6"/>
  <c r="W51" i="6"/>
  <c r="V51" i="6"/>
  <c r="U51" i="6"/>
  <c r="T51" i="6"/>
  <c r="S51" i="6"/>
  <c r="W50" i="6"/>
  <c r="V50" i="6"/>
  <c r="U50" i="6"/>
  <c r="T50" i="6"/>
  <c r="S50" i="6"/>
  <c r="W49" i="6"/>
  <c r="V49" i="6"/>
  <c r="U49" i="6"/>
  <c r="T49" i="6"/>
  <c r="S49" i="6"/>
  <c r="W48" i="6"/>
  <c r="V48" i="6"/>
  <c r="U48" i="6"/>
  <c r="T48" i="6"/>
  <c r="S48" i="6"/>
  <c r="W47" i="6"/>
  <c r="V47" i="6"/>
  <c r="U47" i="6"/>
  <c r="T47" i="6"/>
  <c r="S47" i="6"/>
  <c r="W46" i="6"/>
  <c r="V46" i="6"/>
  <c r="U46" i="6"/>
  <c r="T46" i="6"/>
  <c r="S46" i="6"/>
  <c r="W45" i="6"/>
  <c r="V45" i="6"/>
  <c r="U45" i="6"/>
  <c r="T45" i="6"/>
  <c r="S45" i="6"/>
  <c r="W44" i="6"/>
  <c r="V44" i="6"/>
  <c r="U44" i="6"/>
  <c r="T44" i="6"/>
  <c r="S44" i="6"/>
  <c r="W43" i="6"/>
  <c r="V43" i="6"/>
  <c r="U43" i="6"/>
  <c r="T43" i="6"/>
  <c r="S43" i="6"/>
  <c r="W42" i="6"/>
  <c r="V42" i="6"/>
  <c r="U42" i="6"/>
  <c r="T42" i="6"/>
  <c r="S42" i="6"/>
  <c r="W41" i="6"/>
  <c r="V41" i="6"/>
  <c r="U41" i="6"/>
  <c r="T41" i="6"/>
  <c r="S41" i="6"/>
  <c r="O112" i="5"/>
  <c r="O111" i="5"/>
  <c r="O110" i="5"/>
  <c r="P109" i="5"/>
  <c r="O109" i="5"/>
  <c r="L109" i="5"/>
  <c r="P108" i="5"/>
  <c r="O108" i="5"/>
  <c r="N108" i="5"/>
  <c r="M108" i="5"/>
  <c r="P107" i="5"/>
  <c r="O107" i="5"/>
  <c r="N107" i="5"/>
  <c r="M107" i="5"/>
  <c r="P106" i="5"/>
  <c r="O106" i="5"/>
  <c r="N106" i="5"/>
  <c r="M106" i="5"/>
  <c r="P105" i="5"/>
  <c r="O105" i="5"/>
  <c r="N105" i="5"/>
  <c r="M105" i="5"/>
  <c r="P104" i="5"/>
  <c r="O104" i="5"/>
  <c r="N104" i="5"/>
  <c r="M104" i="5"/>
  <c r="P103" i="5"/>
  <c r="O103" i="5"/>
  <c r="N103" i="5"/>
  <c r="M103" i="5"/>
  <c r="P102" i="5"/>
  <c r="O102" i="5"/>
  <c r="N102" i="5"/>
  <c r="M102" i="5"/>
  <c r="P101" i="5"/>
  <c r="O101" i="5"/>
  <c r="N101" i="5"/>
  <c r="M101" i="5"/>
  <c r="P100" i="5"/>
  <c r="O100" i="5"/>
  <c r="N100" i="5"/>
  <c r="M100" i="5"/>
  <c r="P99" i="5"/>
  <c r="O99" i="5"/>
  <c r="N99" i="5"/>
  <c r="M99" i="5"/>
  <c r="P98" i="5"/>
  <c r="O98" i="5"/>
  <c r="N98" i="5"/>
  <c r="M98" i="5"/>
  <c r="P97" i="5"/>
  <c r="O97" i="5"/>
  <c r="N97" i="5"/>
  <c r="M97" i="5"/>
  <c r="L94" i="5"/>
  <c r="L93" i="5"/>
  <c r="L92" i="5"/>
  <c r="L91" i="5"/>
  <c r="L90" i="5"/>
  <c r="L89" i="5"/>
  <c r="L88" i="5"/>
  <c r="L87" i="5"/>
  <c r="S86" i="5"/>
  <c r="L86" i="5"/>
  <c r="S85" i="5"/>
  <c r="L85" i="5"/>
  <c r="S84" i="5"/>
  <c r="L84" i="5"/>
  <c r="L83" i="5"/>
  <c r="L82" i="5"/>
  <c r="E79" i="5"/>
  <c r="AM68" i="5"/>
  <c r="AL68" i="5"/>
  <c r="AK68" i="5"/>
  <c r="AJ68" i="5"/>
  <c r="AI68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N115" i="4"/>
  <c r="N114" i="4"/>
  <c r="N113" i="4"/>
  <c r="O112" i="4"/>
  <c r="N112" i="4"/>
  <c r="K112" i="4"/>
  <c r="O111" i="4"/>
  <c r="N111" i="4"/>
  <c r="M111" i="4"/>
  <c r="L111" i="4"/>
  <c r="O110" i="4"/>
  <c r="N110" i="4"/>
  <c r="M110" i="4"/>
  <c r="L110" i="4"/>
  <c r="O109" i="4"/>
  <c r="N109" i="4"/>
  <c r="M109" i="4"/>
  <c r="L109" i="4"/>
  <c r="O108" i="4"/>
  <c r="N108" i="4"/>
  <c r="M108" i="4"/>
  <c r="L108" i="4"/>
  <c r="O107" i="4"/>
  <c r="N107" i="4"/>
  <c r="M107" i="4"/>
  <c r="L107" i="4"/>
  <c r="O106" i="4"/>
  <c r="N106" i="4"/>
  <c r="M106" i="4"/>
  <c r="L106" i="4"/>
  <c r="O105" i="4"/>
  <c r="N105" i="4"/>
  <c r="M105" i="4"/>
  <c r="L105" i="4"/>
  <c r="O104" i="4"/>
  <c r="N104" i="4"/>
  <c r="M104" i="4"/>
  <c r="L104" i="4"/>
  <c r="O103" i="4"/>
  <c r="N103" i="4"/>
  <c r="M103" i="4"/>
  <c r="L103" i="4"/>
  <c r="V102" i="4"/>
  <c r="O102" i="4"/>
  <c r="N102" i="4"/>
  <c r="M102" i="4"/>
  <c r="L102" i="4"/>
  <c r="V101" i="4"/>
  <c r="O101" i="4"/>
  <c r="N101" i="4"/>
  <c r="M101" i="4"/>
  <c r="L101" i="4"/>
  <c r="V100" i="4"/>
  <c r="O100" i="4"/>
  <c r="N100" i="4"/>
  <c r="M100" i="4"/>
  <c r="L100" i="4"/>
  <c r="V99" i="4"/>
  <c r="O99" i="4"/>
  <c r="N99" i="4"/>
  <c r="M99" i="4"/>
  <c r="L99" i="4"/>
  <c r="O98" i="4"/>
  <c r="N98" i="4"/>
  <c r="M98" i="4"/>
  <c r="L98" i="4"/>
  <c r="E77" i="4"/>
  <c r="N172" i="3"/>
  <c r="K172" i="3"/>
  <c r="H172" i="3"/>
  <c r="O161" i="3"/>
  <c r="O160" i="3"/>
  <c r="O159" i="3"/>
  <c r="P158" i="3"/>
  <c r="O158" i="3"/>
  <c r="L158" i="3"/>
  <c r="P157" i="3"/>
  <c r="O157" i="3"/>
  <c r="N157" i="3"/>
  <c r="M157" i="3"/>
  <c r="P156" i="3"/>
  <c r="O156" i="3"/>
  <c r="N156" i="3"/>
  <c r="M156" i="3"/>
  <c r="P155" i="3"/>
  <c r="O155" i="3"/>
  <c r="N155" i="3"/>
  <c r="M155" i="3"/>
  <c r="P154" i="3"/>
  <c r="O154" i="3"/>
  <c r="N154" i="3"/>
  <c r="M154" i="3"/>
  <c r="P153" i="3"/>
  <c r="O153" i="3"/>
  <c r="N153" i="3"/>
  <c r="M153" i="3"/>
  <c r="P152" i="3"/>
  <c r="O152" i="3"/>
  <c r="N152" i="3"/>
  <c r="M152" i="3"/>
  <c r="P151" i="3"/>
  <c r="O151" i="3"/>
  <c r="N151" i="3"/>
  <c r="M151" i="3"/>
  <c r="P150" i="3"/>
  <c r="O150" i="3"/>
  <c r="N150" i="3"/>
  <c r="M150" i="3"/>
  <c r="P149" i="3"/>
  <c r="O149" i="3"/>
  <c r="N149" i="3"/>
  <c r="M149" i="3"/>
  <c r="P148" i="3"/>
  <c r="O148" i="3"/>
  <c r="N148" i="3"/>
  <c r="M148" i="3"/>
  <c r="P147" i="3"/>
  <c r="O147" i="3"/>
  <c r="N147" i="3"/>
  <c r="M147" i="3"/>
  <c r="P146" i="3"/>
  <c r="O146" i="3"/>
  <c r="N146" i="3"/>
  <c r="M146" i="3"/>
  <c r="P145" i="3"/>
  <c r="O145" i="3"/>
  <c r="N145" i="3"/>
  <c r="M145" i="3"/>
  <c r="P144" i="3"/>
  <c r="O144" i="3"/>
  <c r="N144" i="3"/>
  <c r="M144" i="3"/>
  <c r="P143" i="3"/>
  <c r="O143" i="3"/>
  <c r="N143" i="3"/>
  <c r="M143" i="3"/>
  <c r="P142" i="3"/>
  <c r="O142" i="3"/>
  <c r="N142" i="3"/>
  <c r="M142" i="3"/>
  <c r="P141" i="3"/>
  <c r="O141" i="3"/>
  <c r="N141" i="3"/>
  <c r="M141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R124" i="3"/>
  <c r="L124" i="3"/>
  <c r="R123" i="3"/>
  <c r="L123" i="3"/>
  <c r="R122" i="3"/>
  <c r="L122" i="3"/>
  <c r="R121" i="3"/>
  <c r="L121" i="3"/>
  <c r="E118" i="3"/>
  <c r="AN86" i="3"/>
  <c r="AM86" i="3"/>
  <c r="AL86" i="3"/>
  <c r="AK86" i="3"/>
  <c r="AJ86" i="3"/>
  <c r="AI86" i="3"/>
  <c r="AH86" i="3"/>
  <c r="AG86" i="3"/>
  <c r="AF86" i="3"/>
  <c r="AE86" i="3"/>
  <c r="AD86" i="3"/>
  <c r="AC86" i="3"/>
  <c r="AB86" i="3"/>
  <c r="AA86" i="3"/>
  <c r="Z86" i="3"/>
  <c r="Y86" i="3"/>
  <c r="X86" i="3"/>
  <c r="W86" i="3"/>
  <c r="V86" i="3"/>
  <c r="U86" i="3"/>
  <c r="T86" i="3"/>
  <c r="S86" i="3"/>
  <c r="R86" i="3"/>
  <c r="Q86" i="3"/>
  <c r="P86" i="3"/>
  <c r="O86" i="3"/>
  <c r="N86" i="3"/>
  <c r="M86" i="3"/>
  <c r="L86" i="3"/>
  <c r="K86" i="3"/>
  <c r="J86" i="3"/>
  <c r="I86" i="3"/>
  <c r="O189" i="2"/>
  <c r="O188" i="2"/>
  <c r="O187" i="2"/>
  <c r="P186" i="2"/>
  <c r="O186" i="2"/>
  <c r="L186" i="2"/>
  <c r="P185" i="2"/>
  <c r="O185" i="2"/>
  <c r="N185" i="2"/>
  <c r="M185" i="2"/>
  <c r="P184" i="2"/>
  <c r="O184" i="2"/>
  <c r="N184" i="2"/>
  <c r="M184" i="2"/>
  <c r="P183" i="2"/>
  <c r="O183" i="2"/>
  <c r="N183" i="2"/>
  <c r="M183" i="2"/>
  <c r="P182" i="2"/>
  <c r="O182" i="2"/>
  <c r="N182" i="2"/>
  <c r="M182" i="2"/>
  <c r="P181" i="2"/>
  <c r="O181" i="2"/>
  <c r="N181" i="2"/>
  <c r="M181" i="2"/>
  <c r="P180" i="2"/>
  <c r="O180" i="2"/>
  <c r="N180" i="2"/>
  <c r="M180" i="2"/>
  <c r="P179" i="2"/>
  <c r="O179" i="2"/>
  <c r="N179" i="2"/>
  <c r="M179" i="2"/>
  <c r="P178" i="2"/>
  <c r="O178" i="2"/>
  <c r="N178" i="2"/>
  <c r="M178" i="2"/>
  <c r="P177" i="2"/>
  <c r="O177" i="2"/>
  <c r="N177" i="2"/>
  <c r="M177" i="2"/>
  <c r="P176" i="2"/>
  <c r="O176" i="2"/>
  <c r="N176" i="2"/>
  <c r="M176" i="2"/>
  <c r="P175" i="2"/>
  <c r="O175" i="2"/>
  <c r="N175" i="2"/>
  <c r="M175" i="2"/>
  <c r="P174" i="2"/>
  <c r="O174" i="2"/>
  <c r="N174" i="2"/>
  <c r="M174" i="2"/>
  <c r="P173" i="2"/>
  <c r="O173" i="2"/>
  <c r="N173" i="2"/>
  <c r="M173" i="2"/>
  <c r="P172" i="2"/>
  <c r="O172" i="2"/>
  <c r="N172" i="2"/>
  <c r="M172" i="2"/>
  <c r="P171" i="2"/>
  <c r="O171" i="2"/>
  <c r="N171" i="2"/>
  <c r="M171" i="2"/>
  <c r="P170" i="2"/>
  <c r="O170" i="2"/>
  <c r="N170" i="2"/>
  <c r="M170" i="2"/>
  <c r="P169" i="2"/>
  <c r="O169" i="2"/>
  <c r="N169" i="2"/>
  <c r="M169" i="2"/>
  <c r="P168" i="2"/>
  <c r="O168" i="2"/>
  <c r="N168" i="2"/>
  <c r="M168" i="2"/>
  <c r="P167" i="2"/>
  <c r="O167" i="2"/>
  <c r="N167" i="2"/>
  <c r="M167" i="2"/>
  <c r="P166" i="2"/>
  <c r="O166" i="2"/>
  <c r="N166" i="2"/>
  <c r="M166" i="2"/>
  <c r="P165" i="2"/>
  <c r="O165" i="2"/>
  <c r="N165" i="2"/>
  <c r="M165" i="2"/>
  <c r="P164" i="2"/>
  <c r="O164" i="2"/>
  <c r="N164" i="2"/>
  <c r="M164" i="2"/>
  <c r="P163" i="2"/>
  <c r="O163" i="2"/>
  <c r="N163" i="2"/>
  <c r="M163" i="2"/>
  <c r="P162" i="2"/>
  <c r="O162" i="2"/>
  <c r="N162" i="2"/>
  <c r="M162" i="2"/>
  <c r="E132" i="2"/>
  <c r="N116" i="2"/>
  <c r="N115" i="2"/>
  <c r="N113" i="2"/>
  <c r="N112" i="2"/>
  <c r="N111" i="2"/>
  <c r="N110" i="2"/>
  <c r="N109" i="2"/>
  <c r="N107" i="2"/>
  <c r="N106" i="2"/>
  <c r="N104" i="2"/>
  <c r="N103" i="2"/>
  <c r="N102" i="2"/>
  <c r="N101" i="2"/>
  <c r="N100" i="2"/>
  <c r="N99" i="2"/>
  <c r="N98" i="2"/>
  <c r="N97" i="2"/>
  <c r="V96" i="2"/>
  <c r="N96" i="2"/>
  <c r="V95" i="2"/>
  <c r="N95" i="2"/>
  <c r="V94" i="2"/>
  <c r="N94" i="2"/>
  <c r="V93" i="2"/>
  <c r="N93" i="2"/>
  <c r="N92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S130" i="1"/>
  <c r="S129" i="1"/>
  <c r="S128" i="1"/>
  <c r="S127" i="1"/>
  <c r="V122" i="1"/>
  <c r="V121" i="1"/>
  <c r="V120" i="1"/>
  <c r="W119" i="1"/>
  <c r="V119" i="1"/>
  <c r="T119" i="1"/>
  <c r="S119" i="1"/>
  <c r="L119" i="1"/>
  <c r="W118" i="1"/>
  <c r="V118" i="1"/>
  <c r="U118" i="1"/>
  <c r="T118" i="1"/>
  <c r="L118" i="1"/>
  <c r="W117" i="1"/>
  <c r="V117" i="1"/>
  <c r="U117" i="1"/>
  <c r="T117" i="1"/>
  <c r="L117" i="1"/>
  <c r="W116" i="1"/>
  <c r="V116" i="1"/>
  <c r="U116" i="1"/>
  <c r="T116" i="1"/>
  <c r="L116" i="1"/>
  <c r="W115" i="1"/>
  <c r="V115" i="1"/>
  <c r="U115" i="1"/>
  <c r="T115" i="1"/>
  <c r="L115" i="1"/>
  <c r="W114" i="1"/>
  <c r="V114" i="1"/>
  <c r="U114" i="1"/>
  <c r="T114" i="1"/>
  <c r="L114" i="1"/>
  <c r="W113" i="1"/>
  <c r="V113" i="1"/>
  <c r="U113" i="1"/>
  <c r="T113" i="1"/>
  <c r="L113" i="1"/>
  <c r="W112" i="1"/>
  <c r="V112" i="1"/>
  <c r="U112" i="1"/>
  <c r="T112" i="1"/>
  <c r="L112" i="1"/>
  <c r="W111" i="1"/>
  <c r="V111" i="1"/>
  <c r="U111" i="1"/>
  <c r="T111" i="1"/>
  <c r="L111" i="1"/>
  <c r="W110" i="1"/>
  <c r="V110" i="1"/>
  <c r="U110" i="1"/>
  <c r="T110" i="1"/>
  <c r="L110" i="1"/>
  <c r="W109" i="1"/>
  <c r="V109" i="1"/>
  <c r="U109" i="1"/>
  <c r="T109" i="1"/>
  <c r="L109" i="1"/>
  <c r="W108" i="1"/>
  <c r="V108" i="1"/>
  <c r="U108" i="1"/>
  <c r="T108" i="1"/>
  <c r="L108" i="1"/>
  <c r="W107" i="1"/>
  <c r="V107" i="1"/>
  <c r="U107" i="1"/>
  <c r="T107" i="1"/>
  <c r="L107" i="1"/>
  <c r="W106" i="1"/>
  <c r="V106" i="1"/>
  <c r="U106" i="1"/>
  <c r="T106" i="1"/>
  <c r="L106" i="1"/>
  <c r="W105" i="1"/>
  <c r="V105" i="1"/>
  <c r="U105" i="1"/>
  <c r="T105" i="1"/>
  <c r="L105" i="1"/>
  <c r="W104" i="1"/>
  <c r="V104" i="1"/>
  <c r="U104" i="1"/>
  <c r="T104" i="1"/>
  <c r="W103" i="1"/>
  <c r="V103" i="1"/>
  <c r="U103" i="1"/>
  <c r="T103" i="1"/>
  <c r="W102" i="1"/>
  <c r="V102" i="1"/>
  <c r="U102" i="1"/>
  <c r="T102" i="1"/>
  <c r="L102" i="1"/>
  <c r="W101" i="1"/>
  <c r="V101" i="1"/>
  <c r="U101" i="1"/>
  <c r="T101" i="1"/>
  <c r="L101" i="1"/>
  <c r="W100" i="1"/>
  <c r="V100" i="1"/>
  <c r="U100" i="1"/>
  <c r="T100" i="1"/>
  <c r="L100" i="1"/>
  <c r="E97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I66" i="4"/>
  <c r="AN66" i="4"/>
  <c r="S66" i="4"/>
  <c r="K305" i="7"/>
  <c r="Y66" i="4"/>
  <c r="AG305" i="7"/>
  <c r="AH305" i="7"/>
  <c r="D305" i="7"/>
  <c r="Q305" i="7"/>
  <c r="P305" i="7"/>
  <c r="I305" i="7"/>
  <c r="AI66" i="4"/>
  <c r="AC66" i="4"/>
  <c r="L66" i="4"/>
  <c r="O66" i="4"/>
  <c r="U305" i="7"/>
  <c r="Z305" i="7"/>
  <c r="G305" i="7"/>
  <c r="U66" i="4"/>
  <c r="E305" i="7"/>
  <c r="W66" i="4"/>
  <c r="AB66" i="4"/>
  <c r="J305" i="7"/>
  <c r="AK66" i="4"/>
  <c r="AF305" i="7"/>
  <c r="F305" i="7"/>
  <c r="AG66" i="4"/>
  <c r="R66" i="4"/>
  <c r="AF66" i="4"/>
  <c r="AB305" i="7"/>
  <c r="V66" i="4"/>
  <c r="AJ66" i="4"/>
  <c r="H305" i="7"/>
  <c r="AD66" i="4"/>
  <c r="M305" i="7"/>
  <c r="AM66" i="4"/>
  <c r="L305" i="7"/>
  <c r="C305" i="7"/>
  <c r="AI305" i="7"/>
  <c r="AJ305" i="7"/>
  <c r="N66" i="4"/>
  <c r="AA66" i="4"/>
  <c r="R305" i="7"/>
  <c r="AC305" i="7"/>
  <c r="T305" i="7"/>
  <c r="J66" i="4"/>
  <c r="M66" i="4"/>
  <c r="K66" i="4"/>
  <c r="Z66" i="4"/>
  <c r="T66" i="4"/>
  <c r="AA305" i="7"/>
  <c r="S305" i="7"/>
  <c r="AH66" i="4"/>
  <c r="AL66" i="4"/>
  <c r="X66" i="4"/>
  <c r="Y305" i="7"/>
  <c r="AE66" i="4"/>
  <c r="P66" i="4"/>
  <c r="O305" i="7"/>
  <c r="V305" i="7"/>
  <c r="AD305" i="7"/>
  <c r="AE305" i="7"/>
  <c r="N305" i="7"/>
  <c r="X305" i="7"/>
  <c r="Q66" i="4"/>
  <c r="W305" i="7"/>
</calcChain>
</file>

<file path=xl/sharedStrings.xml><?xml version="1.0" encoding="utf-8"?>
<sst xmlns="http://schemas.openxmlformats.org/spreadsheetml/2006/main" count="3010" uniqueCount="192">
  <si>
    <t>Hari/Tanggal : Selasa 18 Juni 2019</t>
  </si>
  <si>
    <t xml:space="preserve">Jam mulai : </t>
  </si>
  <si>
    <t xml:space="preserve">Frame </t>
  </si>
  <si>
    <t>Genus</t>
  </si>
  <si>
    <t>Nama Spesies</t>
  </si>
  <si>
    <t>Jumlah Koloni</t>
  </si>
  <si>
    <t>Life form</t>
  </si>
  <si>
    <t>CM</t>
  </si>
  <si>
    <t>Favites</t>
  </si>
  <si>
    <t>sp 1</t>
  </si>
  <si>
    <t xml:space="preserve">Favites </t>
  </si>
  <si>
    <t>Porites</t>
  </si>
  <si>
    <t>Goniastrea</t>
  </si>
  <si>
    <t>Goniastrea favulus</t>
  </si>
  <si>
    <t>Favia</t>
  </si>
  <si>
    <t>Koordinat</t>
  </si>
  <si>
    <t>sp 2</t>
  </si>
  <si>
    <t xml:space="preserve">Favia </t>
  </si>
  <si>
    <t>Favites paraflexuosa</t>
  </si>
  <si>
    <t>CE</t>
  </si>
  <si>
    <t>Cyphastrea</t>
  </si>
  <si>
    <t>Acropora</t>
  </si>
  <si>
    <t>CB</t>
  </si>
  <si>
    <t>sp 3</t>
  </si>
  <si>
    <t>Goniasrea favulus</t>
  </si>
  <si>
    <t>Pocillophora</t>
  </si>
  <si>
    <t>Astreopora</t>
  </si>
  <si>
    <t>Goniasrea</t>
  </si>
  <si>
    <t>CS</t>
  </si>
  <si>
    <t>Montipora</t>
  </si>
  <si>
    <t>Favites pentagona</t>
  </si>
  <si>
    <t>sp 4</t>
  </si>
  <si>
    <t>Sp 2</t>
  </si>
  <si>
    <t>Sp 1</t>
  </si>
  <si>
    <t>Favites bestae</t>
  </si>
  <si>
    <t>Heliopora</t>
  </si>
  <si>
    <t>Platygyra</t>
  </si>
  <si>
    <t>Favites abdita</t>
  </si>
  <si>
    <t xml:space="preserve">Goniastrea </t>
  </si>
  <si>
    <t xml:space="preserve">CM </t>
  </si>
  <si>
    <t>Transek ke:</t>
  </si>
  <si>
    <t>S</t>
  </si>
  <si>
    <t>E</t>
  </si>
  <si>
    <t>8 54'37.061''</t>
  </si>
  <si>
    <t>116 17'57.997"</t>
  </si>
  <si>
    <t xml:space="preserve">Transek ke: </t>
  </si>
  <si>
    <t>8 54'35.840''</t>
  </si>
  <si>
    <t>116 17'51.738''</t>
  </si>
  <si>
    <t>8 54'34.265''</t>
  </si>
  <si>
    <t>116 17'49.748''</t>
  </si>
  <si>
    <t>Hari/Tanggal : Jum'at 7 Juni 2019</t>
  </si>
  <si>
    <t>8 54'36.449''</t>
  </si>
  <si>
    <t>116 17'56.120''</t>
  </si>
  <si>
    <t>16,00</t>
  </si>
  <si>
    <t>Hari/Tanggal : Sabtu, 8 Juni 2019</t>
  </si>
  <si>
    <t>Goniastrea aspera</t>
  </si>
  <si>
    <t xml:space="preserve">Goniatrea </t>
  </si>
  <si>
    <t>Symphyllia</t>
  </si>
  <si>
    <t>Symphyllia agaricia</t>
  </si>
  <si>
    <t>Hydnopora</t>
  </si>
  <si>
    <t>Porites solida</t>
  </si>
  <si>
    <t>Koordinat:</t>
  </si>
  <si>
    <t>Goniopora</t>
  </si>
  <si>
    <t xml:space="preserve">CE </t>
  </si>
  <si>
    <t>Acropora crateriformis</t>
  </si>
  <si>
    <t>Species</t>
  </si>
  <si>
    <t>Jml Koloni</t>
  </si>
  <si>
    <t>sp</t>
  </si>
  <si>
    <t>Favites sp 1</t>
  </si>
  <si>
    <t>Pocillophora meandrina</t>
  </si>
  <si>
    <t>8 54'035.834''</t>
  </si>
  <si>
    <t>116 17'55.416''</t>
  </si>
  <si>
    <t>08°54'35"</t>
  </si>
  <si>
    <t>116°17'57"</t>
  </si>
  <si>
    <t>116°17'56"</t>
  </si>
  <si>
    <t>116°17'55"</t>
  </si>
  <si>
    <t>116°17'52"</t>
  </si>
  <si>
    <t>116°17'51"</t>
  </si>
  <si>
    <t xml:space="preserve">Goniopora </t>
  </si>
  <si>
    <t>pi</t>
  </si>
  <si>
    <t>pilnpi</t>
  </si>
  <si>
    <t>lnpi</t>
  </si>
  <si>
    <t>Jumlah</t>
  </si>
  <si>
    <t>H' (Indeks keanekaragaman)</t>
  </si>
  <si>
    <t>E (Indeks Keseragaman)</t>
  </si>
  <si>
    <t>C (Indeks Dominansi)</t>
  </si>
  <si>
    <t xml:space="preserve">No </t>
  </si>
  <si>
    <t>C</t>
  </si>
  <si>
    <t>Famili</t>
  </si>
  <si>
    <t>Acroporidae</t>
  </si>
  <si>
    <t>Pocilloidae</t>
  </si>
  <si>
    <t>Faviidae</t>
  </si>
  <si>
    <t>Meandrinidae</t>
  </si>
  <si>
    <t>Poritidae</t>
  </si>
  <si>
    <t>Mussidae</t>
  </si>
  <si>
    <t>Pocilloporidae</t>
  </si>
  <si>
    <t>Helioporidae</t>
  </si>
  <si>
    <t>Heliopora coerulea</t>
  </si>
  <si>
    <t>No</t>
  </si>
  <si>
    <t>Jml koloni</t>
  </si>
  <si>
    <t>pi^2</t>
  </si>
  <si>
    <t>Acropora sp 1</t>
  </si>
  <si>
    <t>Astreopora sp 1</t>
  </si>
  <si>
    <t>Cyphastrea sp 1</t>
  </si>
  <si>
    <t>Cyphastrea sp 2</t>
  </si>
  <si>
    <t>Jumlah spesies</t>
  </si>
  <si>
    <t>Transek 1</t>
  </si>
  <si>
    <t>Transek 2</t>
  </si>
  <si>
    <t>Transek</t>
  </si>
  <si>
    <t>Transek 3</t>
  </si>
  <si>
    <t>Transek 4</t>
  </si>
  <si>
    <t>Transek 5</t>
  </si>
  <si>
    <t>Acropora sp 2</t>
  </si>
  <si>
    <t>Astreopora sp 2</t>
  </si>
  <si>
    <t>Montipora sp</t>
  </si>
  <si>
    <t>Favites sp 2</t>
  </si>
  <si>
    <t>Favites sp 3</t>
  </si>
  <si>
    <t>Favites sp 4</t>
  </si>
  <si>
    <t>Favia sp 1</t>
  </si>
  <si>
    <t>Favia sp 2</t>
  </si>
  <si>
    <t>Favia sp 3</t>
  </si>
  <si>
    <t>Favia sp 4</t>
  </si>
  <si>
    <t>Platygyra sp</t>
  </si>
  <si>
    <t>Hydnopora sp</t>
  </si>
  <si>
    <t>Pocillophora sp</t>
  </si>
  <si>
    <t>Goniopora sp</t>
  </si>
  <si>
    <t>Porites sp</t>
  </si>
  <si>
    <t>Indeks keanekaragaman</t>
  </si>
  <si>
    <t xml:space="preserve">Rata rata </t>
  </si>
  <si>
    <t>Indeks keseragaman (E)</t>
  </si>
  <si>
    <t>Kuadrat ke-</t>
  </si>
  <si>
    <t>Jlm ind</t>
  </si>
  <si>
    <t>Jml sp</t>
  </si>
  <si>
    <t>Countif</t>
  </si>
  <si>
    <t>Kekayaan Spesies</t>
  </si>
  <si>
    <t>Rata-rata</t>
  </si>
  <si>
    <t>SD</t>
  </si>
  <si>
    <t>Jmlah</t>
  </si>
  <si>
    <t>Jml ind</t>
  </si>
  <si>
    <t>Jmlah sp</t>
  </si>
  <si>
    <t>T1</t>
  </si>
  <si>
    <t>T2</t>
  </si>
  <si>
    <t>T3</t>
  </si>
  <si>
    <t>T4</t>
  </si>
  <si>
    <t>T5</t>
  </si>
  <si>
    <t>Total</t>
  </si>
  <si>
    <t>Rerata</t>
  </si>
  <si>
    <t xml:space="preserve">Total </t>
  </si>
  <si>
    <t>TOTAL</t>
  </si>
  <si>
    <t>Rata-rata Kekayaan Spesies Echinodermata Antar Kuadrat di Pantai Pewaringan dan Pantai Lenggolong. Batang Galat Menunjukkan Standar Deviasi.</t>
  </si>
  <si>
    <t>Perbandingan jumlah koloni/transek</t>
  </si>
  <si>
    <t>Indeks Keanekaragaman (H’)</t>
  </si>
  <si>
    <t>Indeks Keseragaman (J)</t>
  </si>
  <si>
    <t>Indeks Dominansi (C)</t>
  </si>
  <si>
    <t>0,11</t>
  </si>
  <si>
    <t>2,6</t>
  </si>
  <si>
    <t>0,76</t>
  </si>
  <si>
    <t>Lainnya</t>
  </si>
  <si>
    <t>ACD</t>
  </si>
  <si>
    <t>CHL</t>
  </si>
  <si>
    <t>Bentuk Pertumbuhan</t>
  </si>
  <si>
    <t>T1-t5</t>
  </si>
  <si>
    <t xml:space="preserve">sp </t>
  </si>
  <si>
    <t>Psacommora</t>
  </si>
  <si>
    <t>Sideratreidae</t>
  </si>
  <si>
    <t>sp1</t>
  </si>
  <si>
    <t>sp2</t>
  </si>
  <si>
    <t>abdita</t>
  </si>
  <si>
    <t>bestae</t>
  </si>
  <si>
    <t>paraflexuosa</t>
  </si>
  <si>
    <t>pentagona</t>
  </si>
  <si>
    <t>aspera</t>
  </si>
  <si>
    <t>favulus</t>
  </si>
  <si>
    <t>coerulea</t>
  </si>
  <si>
    <t>agaricia</t>
  </si>
  <si>
    <t>meandrina</t>
  </si>
  <si>
    <t>solida</t>
  </si>
  <si>
    <t>humilis</t>
  </si>
  <si>
    <t>Gonistrea sp</t>
  </si>
  <si>
    <t xml:space="preserve">Bentuk pertumbuhan </t>
  </si>
  <si>
    <t>Kode</t>
  </si>
  <si>
    <t>Jumlah Bentuk Pertumbuhan</t>
  </si>
  <si>
    <t>Persen Bentuk Pertumbuhan (%)</t>
  </si>
  <si>
    <t>Goniastrea sp.</t>
  </si>
  <si>
    <t>G. favulus</t>
  </si>
  <si>
    <t>F. abdita</t>
  </si>
  <si>
    <t>F. pentagona</t>
  </si>
  <si>
    <t>Siderastreidae</t>
  </si>
  <si>
    <t>Acropora Menjari</t>
  </si>
  <si>
    <t>Submasif</t>
  </si>
  <si>
    <t>Mengerak</t>
  </si>
  <si>
    <t>Masif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</si>
</sst>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0.00000"/>
    <numFmt numFmtId="166" formatCode="0.0000"/>
    <numFmt numFmtId="167" formatCode="0.0"/>
    <numFmt numFmtId="168" formatCode="0.000000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Times New Roman"/>
      <family val="1"/>
    </font>
    <font>
      <sz val="12"/>
      <color rgb="FF231F2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231F2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trike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231F20"/>
      <name val="Times New Roman"/>
      <family val="1"/>
    </font>
    <font>
      <i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78">
    <xf numFmtId="0" fontId="0" fillId="0" borderId="0" xfId="0"/>
    <xf numFmtId="0" fontId="1" fillId="0" borderId="1" xfId="0" applyFont="1" applyBorder="1"/>
    <xf numFmtId="0" fontId="1" fillId="0" borderId="0" xfId="0" applyFont="1"/>
    <xf numFmtId="0" fontId="0" fillId="0" borderId="1" xfId="0" applyBorder="1"/>
    <xf numFmtId="20" fontId="1" fillId="0" borderId="1" xfId="0" applyNumberFormat="1" applyFont="1" applyBorder="1"/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1" fillId="0" borderId="0" xfId="0" applyFont="1" applyBorder="1"/>
    <xf numFmtId="20" fontId="1" fillId="0" borderId="0" xfId="0" applyNumberFormat="1" applyFont="1" applyBorder="1"/>
    <xf numFmtId="0" fontId="0" fillId="0" borderId="0" xfId="0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4" fillId="0" borderId="0" xfId="0" applyFont="1"/>
    <xf numFmtId="0" fontId="1" fillId="0" borderId="1" xfId="0" applyFont="1" applyFill="1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/>
    <xf numFmtId="2" fontId="1" fillId="0" borderId="0" xfId="0" applyNumberFormat="1" applyFont="1" applyBorder="1"/>
    <xf numFmtId="0" fontId="1" fillId="0" borderId="0" xfId="0" applyFont="1" applyFill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3" xfId="0" applyFont="1" applyBorder="1"/>
    <xf numFmtId="0" fontId="0" fillId="0" borderId="4" xfId="0" applyBorder="1"/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0" xfId="0" applyFont="1"/>
    <xf numFmtId="166" fontId="1" fillId="0" borderId="0" xfId="0" applyNumberFormat="1" applyFont="1"/>
    <xf numFmtId="0" fontId="1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66" fontId="1" fillId="0" borderId="0" xfId="0" applyNumberFormat="1" applyFont="1" applyBorder="1"/>
    <xf numFmtId="165" fontId="1" fillId="0" borderId="0" xfId="0" applyNumberFormat="1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 vertical="center"/>
    </xf>
    <xf numFmtId="0" fontId="1" fillId="2" borderId="0" xfId="0" applyFont="1" applyFill="1" applyBorder="1" applyAlignment="1"/>
    <xf numFmtId="0" fontId="1" fillId="2" borderId="0" xfId="0" applyFont="1" applyFill="1" applyBorder="1"/>
    <xf numFmtId="167" fontId="1" fillId="2" borderId="0" xfId="0" applyNumberFormat="1" applyFont="1" applyFill="1" applyBorder="1"/>
    <xf numFmtId="0" fontId="1" fillId="3" borderId="0" xfId="0" applyFont="1" applyFill="1" applyBorder="1" applyAlignment="1"/>
    <xf numFmtId="0" fontId="1" fillId="3" borderId="0" xfId="0" applyFont="1" applyFill="1" applyBorder="1"/>
    <xf numFmtId="2" fontId="1" fillId="3" borderId="0" xfId="0" applyNumberFormat="1" applyFont="1" applyFill="1" applyBorder="1"/>
    <xf numFmtId="0" fontId="1" fillId="4" borderId="5" xfId="0" applyFont="1" applyFill="1" applyBorder="1" applyAlignment="1"/>
    <xf numFmtId="0" fontId="1" fillId="4" borderId="5" xfId="0" applyFont="1" applyFill="1" applyBorder="1"/>
    <xf numFmtId="2" fontId="1" fillId="4" borderId="5" xfId="0" applyNumberFormat="1" applyFont="1" applyFill="1" applyBorder="1"/>
    <xf numFmtId="0" fontId="1" fillId="0" borderId="4" xfId="0" applyFont="1" applyBorder="1"/>
    <xf numFmtId="165" fontId="1" fillId="0" borderId="4" xfId="0" applyNumberFormat="1" applyFont="1" applyBorder="1"/>
    <xf numFmtId="0" fontId="1" fillId="0" borderId="0" xfId="0" applyFont="1" applyFill="1" applyBorder="1" applyAlignment="1">
      <alignment horizontal="left"/>
    </xf>
    <xf numFmtId="2" fontId="0" fillId="0" borderId="0" xfId="0" applyNumberFormat="1" applyBorder="1"/>
    <xf numFmtId="164" fontId="0" fillId="0" borderId="0" xfId="0" applyNumberFormat="1" applyBorder="1"/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2" fontId="0" fillId="0" borderId="4" xfId="0" applyNumberFormat="1" applyBorder="1"/>
    <xf numFmtId="164" fontId="0" fillId="0" borderId="4" xfId="0" applyNumberFormat="1" applyBorder="1"/>
    <xf numFmtId="0" fontId="1" fillId="0" borderId="4" xfId="0" applyFont="1" applyFill="1" applyBorder="1"/>
    <xf numFmtId="0" fontId="3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1" fillId="0" borderId="4" xfId="0" applyNumberFormat="1" applyFont="1" applyBorder="1"/>
    <xf numFmtId="2" fontId="1" fillId="0" borderId="4" xfId="0" applyNumberFormat="1" applyFont="1" applyBorder="1"/>
    <xf numFmtId="166" fontId="1" fillId="0" borderId="4" xfId="0" applyNumberFormat="1" applyFont="1" applyBorder="1"/>
    <xf numFmtId="0" fontId="3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0" applyFont="1" applyBorder="1"/>
    <xf numFmtId="0" fontId="8" fillId="0" borderId="0" xfId="0" applyFont="1"/>
    <xf numFmtId="0" fontId="7" fillId="4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2" fontId="7" fillId="0" borderId="3" xfId="0" applyNumberFormat="1" applyFont="1" applyBorder="1" applyAlignment="1">
      <alignment horizontal="center"/>
    </xf>
    <xf numFmtId="2" fontId="7" fillId="2" borderId="3" xfId="0" applyNumberFormat="1" applyFont="1" applyFill="1" applyBorder="1" applyAlignment="1">
      <alignment horizontal="center"/>
    </xf>
    <xf numFmtId="2" fontId="7" fillId="4" borderId="3" xfId="0" applyNumberFormat="1" applyFont="1" applyFill="1" applyBorder="1" applyAlignment="1">
      <alignment horizontal="center"/>
    </xf>
    <xf numFmtId="166" fontId="7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8" fontId="7" fillId="0" borderId="0" xfId="0" applyNumberFormat="1" applyFont="1" applyAlignment="1">
      <alignment horizontal="center"/>
    </xf>
    <xf numFmtId="0" fontId="1" fillId="0" borderId="6" xfId="0" applyFont="1" applyBorder="1"/>
    <xf numFmtId="0" fontId="0" fillId="0" borderId="7" xfId="0" applyBorder="1"/>
    <xf numFmtId="9" fontId="0" fillId="0" borderId="0" xfId="1" applyFont="1"/>
    <xf numFmtId="9" fontId="0" fillId="0" borderId="0" xfId="0" applyNumberFormat="1"/>
    <xf numFmtId="167" fontId="1" fillId="0" borderId="4" xfId="0" applyNumberFormat="1" applyFont="1" applyBorder="1"/>
    <xf numFmtId="0" fontId="11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vertical="top"/>
    </xf>
    <xf numFmtId="0" fontId="13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5" fillId="0" borderId="0" xfId="0" applyFont="1"/>
    <xf numFmtId="0" fontId="0" fillId="2" borderId="0" xfId="0" applyFill="1"/>
    <xf numFmtId="0" fontId="16" fillId="0" borderId="0" xfId="0" applyFont="1"/>
    <xf numFmtId="0" fontId="6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/>
    </xf>
    <xf numFmtId="0" fontId="16" fillId="0" borderId="0" xfId="0" applyFont="1" applyAlignment="1"/>
    <xf numFmtId="0" fontId="3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17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0" fillId="0" borderId="0" xfId="0" applyFill="1"/>
    <xf numFmtId="0" fontId="3" fillId="0" borderId="1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/>
    <xf numFmtId="167" fontId="0" fillId="0" borderId="0" xfId="0" applyNumberFormat="1"/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2" fontId="0" fillId="0" borderId="0" xfId="0" applyNumberFormat="1"/>
    <xf numFmtId="9" fontId="0" fillId="0" borderId="0" xfId="1" applyFont="1" applyBorder="1"/>
    <xf numFmtId="9" fontId="0" fillId="0" borderId="0" xfId="0" applyNumberFormat="1" applyBorder="1"/>
    <xf numFmtId="9" fontId="0" fillId="0" borderId="0" xfId="1" applyNumberFormat="1" applyFont="1"/>
    <xf numFmtId="0" fontId="6" fillId="0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167" fontId="7" fillId="3" borderId="3" xfId="0" applyNumberFormat="1" applyFont="1" applyFill="1" applyBorder="1" applyAlignment="1">
      <alignment horizontal="center"/>
    </xf>
    <xf numFmtId="167" fontId="7" fillId="2" borderId="3" xfId="0" applyNumberFormat="1" applyFont="1" applyFill="1" applyBorder="1" applyAlignment="1">
      <alignment horizontal="center"/>
    </xf>
    <xf numFmtId="167" fontId="7" fillId="4" borderId="3" xfId="0" applyNumberFormat="1" applyFont="1" applyFill="1" applyBorder="1" applyAlignment="1">
      <alignment horizontal="center"/>
    </xf>
    <xf numFmtId="2" fontId="7" fillId="3" borderId="3" xfId="0" applyNumberFormat="1" applyFont="1" applyFill="1" applyBorder="1" applyAlignment="1">
      <alignment horizontal="center"/>
    </xf>
    <xf numFmtId="0" fontId="1" fillId="0" borderId="0" xfId="0" applyFont="1" applyBorder="1" applyAlignment="1"/>
    <xf numFmtId="9" fontId="0" fillId="0" borderId="0" xfId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Fill="1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1" fontId="1" fillId="0" borderId="0" xfId="0" applyNumberFormat="1" applyFont="1" applyFill="1" applyBorder="1"/>
    <xf numFmtId="164" fontId="1" fillId="0" borderId="0" xfId="0" applyNumberFormat="1" applyFont="1" applyFill="1" applyBorder="1"/>
    <xf numFmtId="2" fontId="1" fillId="0" borderId="0" xfId="0" applyNumberFormat="1" applyFont="1" applyFill="1" applyBorder="1"/>
    <xf numFmtId="9" fontId="0" fillId="0" borderId="3" xfId="0" applyNumberFormat="1" applyBorder="1"/>
    <xf numFmtId="0" fontId="1" fillId="0" borderId="4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'Ks famili'!$AB$121</c:f>
              <c:strCache>
                <c:ptCount val="1"/>
                <c:pt idx="0">
                  <c:v>Faviidae</c:v>
                </c:pt>
              </c:strCache>
            </c:strRef>
          </c:tx>
          <c:spPr>
            <a:pattFill prst="pct20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5.7914512777060521E-2"/>
                  <c:y val="0.121844426629712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5.7914512777060521E-2"/>
                  <c:y val="0.137985371373707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5.7914512777060521E-2"/>
                  <c:y val="7.718335311203657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5.5687031516404265E-2"/>
                  <c:y val="0.147633607769640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5.5687031516404348E-2"/>
                  <c:y val="0.1407050790477360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5.7914512777060521E-2"/>
                  <c:y val="0.1172324173491316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'Ks famili'!$AC$120:$AH$120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famili'!$AC$121:$AH$121</c:f>
              <c:numCache>
                <c:formatCode>0%</c:formatCode>
                <c:ptCount val="6"/>
                <c:pt idx="0">
                  <c:v>0.14895833333333333</c:v>
                </c:pt>
                <c:pt idx="1">
                  <c:v>0.296875</c:v>
                </c:pt>
                <c:pt idx="2">
                  <c:v>0.13958333333333334</c:v>
                </c:pt>
                <c:pt idx="3">
                  <c:v>9.166666666666666E-2</c:v>
                </c:pt>
                <c:pt idx="4">
                  <c:v>0.11354166666666667</c:v>
                </c:pt>
                <c:pt idx="5">
                  <c:v>0.79062500000000002</c:v>
                </c:pt>
              </c:numCache>
            </c:numRef>
          </c:val>
        </c:ser>
        <c:ser>
          <c:idx val="1"/>
          <c:order val="1"/>
          <c:tx>
            <c:strRef>
              <c:f>'Ks famili'!$AB$122</c:f>
              <c:strCache>
                <c:ptCount val="1"/>
                <c:pt idx="0">
                  <c:v>Poritidae</c:v>
                </c:pt>
              </c:strCache>
            </c:strRef>
          </c:tx>
          <c:spPr>
            <a:pattFill prst="dkUp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elete val="1"/>
          </c:dLbls>
          <c:cat>
            <c:strRef>
              <c:f>'Ks famili'!$AC$120:$AH$120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famili'!$AC$122:$AH$122</c:f>
              <c:numCache>
                <c:formatCode>0%</c:formatCode>
                <c:ptCount val="6"/>
                <c:pt idx="0">
                  <c:v>5.3124999999999999E-2</c:v>
                </c:pt>
                <c:pt idx="1">
                  <c:v>2.9166666666666667E-2</c:v>
                </c:pt>
                <c:pt idx="2">
                  <c:v>2.1874999999999999E-2</c:v>
                </c:pt>
                <c:pt idx="3">
                  <c:v>1.0416666666666666E-2</c:v>
                </c:pt>
                <c:pt idx="4">
                  <c:v>1.3541666666666667E-2</c:v>
                </c:pt>
                <c:pt idx="5">
                  <c:v>0.12812499999999999</c:v>
                </c:pt>
              </c:numCache>
            </c:numRef>
          </c:val>
        </c:ser>
        <c:ser>
          <c:idx val="2"/>
          <c:order val="2"/>
          <c:tx>
            <c:strRef>
              <c:f>'Ks famili'!$AB$123</c:f>
              <c:strCache>
                <c:ptCount val="1"/>
                <c:pt idx="0">
                  <c:v>Acroporidae</c:v>
                </c:pt>
              </c:strCache>
            </c:strRef>
          </c:tx>
          <c:spPr>
            <a:pattFill prst="pct80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elete val="1"/>
          </c:dLbls>
          <c:cat>
            <c:strRef>
              <c:f>'Ks famili'!$AC$120:$AH$120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famili'!$AC$123:$AH$123</c:f>
              <c:numCache>
                <c:formatCode>0%</c:formatCode>
                <c:ptCount val="6"/>
                <c:pt idx="0">
                  <c:v>1.2500000000000001E-2</c:v>
                </c:pt>
                <c:pt idx="1">
                  <c:v>4.1666666666666666E-3</c:v>
                </c:pt>
                <c:pt idx="2">
                  <c:v>2.3958333333333335E-2</c:v>
                </c:pt>
                <c:pt idx="3">
                  <c:v>2.0833333333333333E-3</c:v>
                </c:pt>
                <c:pt idx="4">
                  <c:v>1.0416666666666667E-3</c:v>
                </c:pt>
                <c:pt idx="5">
                  <c:v>4.3749999999999997E-2</c:v>
                </c:pt>
              </c:numCache>
            </c:numRef>
          </c:val>
        </c:ser>
        <c:ser>
          <c:idx val="3"/>
          <c:order val="3"/>
          <c:tx>
            <c:strRef>
              <c:f>'Ks famili'!$AB$124</c:f>
              <c:strCache>
                <c:ptCount val="1"/>
                <c:pt idx="0">
                  <c:v>Mussidae</c:v>
                </c:pt>
              </c:strCache>
            </c:strRef>
          </c:tx>
          <c:spPr>
            <a:pattFill prst="diagBrick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elete val="1"/>
          </c:dLbls>
          <c:cat>
            <c:strRef>
              <c:f>'Ks famili'!$AC$120:$AH$120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famili'!$AC$124:$AH$124</c:f>
              <c:numCache>
                <c:formatCode>0%</c:formatCode>
                <c:ptCount val="6"/>
                <c:pt idx="0">
                  <c:v>0</c:v>
                </c:pt>
                <c:pt idx="1">
                  <c:v>3.1250000000000002E-3</c:v>
                </c:pt>
                <c:pt idx="2">
                  <c:v>4.1666666666666666E-3</c:v>
                </c:pt>
                <c:pt idx="3">
                  <c:v>0</c:v>
                </c:pt>
                <c:pt idx="4">
                  <c:v>0</c:v>
                </c:pt>
                <c:pt idx="5">
                  <c:v>7.2916666666666668E-3</c:v>
                </c:pt>
              </c:numCache>
            </c:numRef>
          </c:val>
        </c:ser>
        <c:ser>
          <c:idx val="4"/>
          <c:order val="4"/>
          <c:tx>
            <c:strRef>
              <c:f>'Ks famili'!$AB$125</c:f>
              <c:strCache>
                <c:ptCount val="1"/>
                <c:pt idx="0">
                  <c:v>Pocilloporidae</c:v>
                </c:pt>
              </c:strCache>
            </c:strRef>
          </c:tx>
          <c:spPr>
            <a:pattFill prst="pct10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elete val="1"/>
          </c:dLbls>
          <c:cat>
            <c:strRef>
              <c:f>'Ks famili'!$AC$120:$AH$120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famili'!$AC$125:$AH$125</c:f>
              <c:numCache>
                <c:formatCode>0%</c:formatCode>
                <c:ptCount val="6"/>
                <c:pt idx="0">
                  <c:v>2.0833333333333333E-3</c:v>
                </c:pt>
                <c:pt idx="1">
                  <c:v>4.1666666666666666E-3</c:v>
                </c:pt>
                <c:pt idx="2">
                  <c:v>5.208333333333333E-3</c:v>
                </c:pt>
                <c:pt idx="3">
                  <c:v>2.0833333333333333E-3</c:v>
                </c:pt>
                <c:pt idx="4">
                  <c:v>0</c:v>
                </c:pt>
                <c:pt idx="5">
                  <c:v>1.3541666666666667E-2</c:v>
                </c:pt>
              </c:numCache>
            </c:numRef>
          </c:val>
        </c:ser>
        <c:ser>
          <c:idx val="5"/>
          <c:order val="5"/>
          <c:tx>
            <c:strRef>
              <c:f>'Ks famili'!$AB$126</c:f>
              <c:strCache>
                <c:ptCount val="1"/>
                <c:pt idx="0">
                  <c:v>Helioporidae</c:v>
                </c:pt>
              </c:strCache>
            </c:strRef>
          </c:tx>
          <c:spPr>
            <a:pattFill prst="zigZ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elete val="1"/>
          </c:dLbls>
          <c:cat>
            <c:strRef>
              <c:f>'Ks famili'!$AC$120:$AH$120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famili'!$AC$126:$AH$126</c:f>
              <c:numCache>
                <c:formatCode>0%</c:formatCode>
                <c:ptCount val="6"/>
                <c:pt idx="0">
                  <c:v>2.0833333333333333E-3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2.0833333333333333E-3</c:v>
                </c:pt>
              </c:numCache>
            </c:numRef>
          </c:val>
        </c:ser>
        <c:ser>
          <c:idx val="6"/>
          <c:order val="6"/>
          <c:tx>
            <c:strRef>
              <c:f>'Ks famili'!$AB$127</c:f>
              <c:strCache>
                <c:ptCount val="1"/>
                <c:pt idx="0">
                  <c:v>Meandrinidae</c:v>
                </c:pt>
              </c:strCache>
            </c:strRef>
          </c:tx>
          <c:spPr>
            <a:pattFill prst="weave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elete val="1"/>
          </c:dLbls>
          <c:cat>
            <c:strRef>
              <c:f>'Ks famili'!$AC$120:$AH$120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famili'!$AC$127:$AH$127</c:f>
              <c:numCache>
                <c:formatCode>0%</c:formatCode>
                <c:ptCount val="6"/>
                <c:pt idx="0">
                  <c:v>0</c:v>
                </c:pt>
                <c:pt idx="1">
                  <c:v>1.0416666666666667E-3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1.0416666666666667E-3</c:v>
                </c:pt>
              </c:numCache>
            </c:numRef>
          </c:val>
        </c:ser>
        <c:ser>
          <c:idx val="7"/>
          <c:order val="7"/>
          <c:tx>
            <c:strRef>
              <c:f>'Ks famili'!$AB$128</c:f>
              <c:strCache>
                <c:ptCount val="1"/>
                <c:pt idx="0">
                  <c:v>Siderastreidae</c:v>
                </c:pt>
              </c:strCache>
            </c:strRef>
          </c:tx>
          <c:spPr>
            <a:pattFill prst="lgGrid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elete val="1"/>
          </c:dLbls>
          <c:cat>
            <c:strRef>
              <c:f>'Ks famili'!$AC$120:$AH$120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famili'!$AC$128:$AH$128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1.3541666666666667E-2</c:v>
                </c:pt>
                <c:pt idx="3">
                  <c:v>0</c:v>
                </c:pt>
                <c:pt idx="4">
                  <c:v>0</c:v>
                </c:pt>
                <c:pt idx="5">
                  <c:v>1.3541666666666667E-2</c:v>
                </c:pt>
              </c:numCache>
            </c:numRef>
          </c:val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78446584"/>
        <c:axId val="278446192"/>
      </c:barChart>
      <c:catAx>
        <c:axId val="278446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Transek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78446192"/>
        <c:crosses val="autoZero"/>
        <c:auto val="1"/>
        <c:lblAlgn val="ctr"/>
        <c:lblOffset val="100"/>
        <c:noMultiLvlLbl val="0"/>
      </c:catAx>
      <c:valAx>
        <c:axId val="27844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Komposisi Famili Karang (%)</a:t>
                </a:r>
                <a:endParaRPr 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n-US"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78446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12"/>
          <c:dPt>
            <c:idx val="0"/>
            <c:bubble3D val="0"/>
            <c:explosion val="9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explosion val="16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explosion val="2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explosion val="2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explosion val="18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explosion val="16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'Ks famili'!$AB$121:$AB$128</c:f>
              <c:strCache>
                <c:ptCount val="8"/>
                <c:pt idx="0">
                  <c:v>Faviidae</c:v>
                </c:pt>
                <c:pt idx="1">
                  <c:v>Poritidae</c:v>
                </c:pt>
                <c:pt idx="2">
                  <c:v>Acroporidae</c:v>
                </c:pt>
                <c:pt idx="3">
                  <c:v>Mussidae</c:v>
                </c:pt>
                <c:pt idx="4">
                  <c:v>Pocilloporidae</c:v>
                </c:pt>
                <c:pt idx="5">
                  <c:v>Helioporidae</c:v>
                </c:pt>
                <c:pt idx="6">
                  <c:v>Meandrinidae</c:v>
                </c:pt>
                <c:pt idx="7">
                  <c:v>Siderastreidae</c:v>
                </c:pt>
              </c:strCache>
            </c:strRef>
          </c:cat>
          <c:val>
            <c:numRef>
              <c:f>'Ks famili'!$AH$121:$AH$128</c:f>
              <c:numCache>
                <c:formatCode>0%</c:formatCode>
                <c:ptCount val="8"/>
                <c:pt idx="0">
                  <c:v>0.79062500000000002</c:v>
                </c:pt>
                <c:pt idx="1">
                  <c:v>0.12812499999999999</c:v>
                </c:pt>
                <c:pt idx="2">
                  <c:v>4.3749999999999997E-2</c:v>
                </c:pt>
                <c:pt idx="3">
                  <c:v>7.2916666666666668E-3</c:v>
                </c:pt>
                <c:pt idx="4">
                  <c:v>1.3541666666666667E-2</c:v>
                </c:pt>
                <c:pt idx="5">
                  <c:v>2.0833333333333333E-3</c:v>
                </c:pt>
                <c:pt idx="6">
                  <c:v>1.0416666666666667E-3</c:v>
                </c:pt>
                <c:pt idx="7">
                  <c:v>1.3541666666666667E-2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192283464566929"/>
          <c:y val="0.20615558471857684"/>
          <c:w val="0.34487685914260718"/>
          <c:h val="0.57479476523767858"/>
        </c:manualLayout>
      </c:layout>
      <c:pieChart>
        <c:varyColors val="1"/>
        <c:ser>
          <c:idx val="0"/>
          <c:order val="0"/>
          <c:tx>
            <c:strRef>
              <c:f>'Ks lifeform'!$E$1</c:f>
              <c:strCache>
                <c:ptCount val="1"/>
                <c:pt idx="0">
                  <c:v>Persen Bentuk Pertumbuhan (%)</c:v>
                </c:pt>
              </c:strCache>
            </c:strRef>
          </c:tx>
          <c:explosion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explosion val="24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1"/>
              <c:layout>
                <c:manualLayout>
                  <c:x val="1.6666666666666666E-2"/>
                  <c:y val="1.211723534558180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791666666666667E-2"/>
                      <c:h val="6.1342592592592594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2.4140419947506563E-2"/>
                  <c:y val="5.874890638670166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'Ks lifeform'!$B$2:$B$6</c:f>
              <c:strCache>
                <c:ptCount val="5"/>
                <c:pt idx="0">
                  <c:v>Acropora Menjari</c:v>
                </c:pt>
                <c:pt idx="1">
                  <c:v>Submasif</c:v>
                </c:pt>
                <c:pt idx="2">
                  <c:v>Mengerak</c:v>
                </c:pt>
                <c:pt idx="3">
                  <c:v>Masif</c:v>
                </c:pt>
                <c:pt idx="4">
                  <c:v>Heliopora</c:v>
                </c:pt>
              </c:strCache>
            </c:strRef>
          </c:cat>
          <c:val>
            <c:numRef>
              <c:f>'Ks lifeform'!$E$2:$E$6</c:f>
              <c:numCache>
                <c:formatCode>0%</c:formatCode>
                <c:ptCount val="5"/>
                <c:pt idx="0">
                  <c:v>0.01</c:v>
                </c:pt>
                <c:pt idx="1">
                  <c:v>0.05</c:v>
                </c:pt>
                <c:pt idx="2">
                  <c:v>0.06</c:v>
                </c:pt>
                <c:pt idx="3">
                  <c:v>0.87</c:v>
                </c:pt>
                <c:pt idx="4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'Kekayaan spesies'!$AM$2</c:f>
              <c:strCache>
                <c:ptCount val="1"/>
                <c:pt idx="0">
                  <c:v>Rata-rata</c:v>
                </c:pt>
              </c:strCache>
            </c:strRef>
          </c:tx>
          <c:spPr>
            <a:pattFill prst="wdUp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2.8295819935691319E-2"/>
                  <c:y val="-4.31499460625682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868167202572346E-2"/>
                  <c:y val="-8.629989212513483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5.4019292604501515E-2"/>
                  <c:y val="8.629989212513483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3.0868167202572346E-2"/>
                  <c:y val="-3.020496224379719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3.858520900321534E-2"/>
                  <c:y val="-4.31499460625674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4.6302250803858427E-2"/>
                  <c:y val="-8.629989212513483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0"/>
            <c:plus>
              <c:numRef>
                <c:f>'Kekayaan spesies'!$AN$3:$AN$8</c:f>
                <c:numCache>
                  <c:formatCode>General</c:formatCode>
                  <c:ptCount val="6"/>
                  <c:pt idx="0">
                    <c:v>0.6930943275164233</c:v>
                  </c:pt>
                  <c:pt idx="1">
                    <c:v>1.3666460840273689</c:v>
                  </c:pt>
                  <c:pt idx="2">
                    <c:v>0.98718048828757554</c:v>
                  </c:pt>
                  <c:pt idx="3">
                    <c:v>0.82270052764787405</c:v>
                  </c:pt>
                  <c:pt idx="4">
                    <c:v>0.79793493384249004</c:v>
                  </c:pt>
                  <c:pt idx="5">
                    <c:v>0.99137323620651718</c:v>
                  </c:pt>
                </c:numCache>
              </c:numRef>
            </c:plus>
            <c:minus>
              <c:numRef>
                <c:f>'Kekayaan spesies'!$AN$3:$AN$8</c:f>
                <c:numCache>
                  <c:formatCode>General</c:formatCode>
                  <c:ptCount val="6"/>
                  <c:pt idx="0">
                    <c:v>0.6930943275164233</c:v>
                  </c:pt>
                  <c:pt idx="1">
                    <c:v>1.3666460840273689</c:v>
                  </c:pt>
                  <c:pt idx="2">
                    <c:v>0.98718048828757554</c:v>
                  </c:pt>
                  <c:pt idx="3">
                    <c:v>0.82270052764787405</c:v>
                  </c:pt>
                  <c:pt idx="4">
                    <c:v>0.79793493384249004</c:v>
                  </c:pt>
                  <c:pt idx="5">
                    <c:v>0.99137323620651718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'Kekayaan spesies'!$AL$3:$AL$8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Total</c:v>
                </c:pt>
              </c:strCache>
            </c:strRef>
          </c:cat>
          <c:val>
            <c:numRef>
              <c:f>'Kekayaan spesies'!$AM$3:$AM$8</c:f>
              <c:numCache>
                <c:formatCode>0.0</c:formatCode>
                <c:ptCount val="6"/>
                <c:pt idx="0">
                  <c:v>0.77500000000000002</c:v>
                </c:pt>
                <c:pt idx="1">
                  <c:v>1.175</c:v>
                </c:pt>
                <c:pt idx="2">
                  <c:v>1.0125</c:v>
                </c:pt>
                <c:pt idx="3">
                  <c:v>0.6333333333333333</c:v>
                </c:pt>
                <c:pt idx="4">
                  <c:v>0.77419354838709675</c:v>
                </c:pt>
                <c:pt idx="5">
                  <c:v>0.89226519337016574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45143704"/>
        <c:axId val="245142528"/>
      </c:barChart>
      <c:catAx>
        <c:axId val="2451437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Transek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>
            <a:softEdge rad="0"/>
          </a:effectLst>
        </c:spPr>
        <c:txPr>
          <a:bodyPr rot="6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142528"/>
        <c:crosses val="autoZero"/>
        <c:auto val="1"/>
        <c:lblAlgn val="ctr"/>
        <c:lblOffset val="100"/>
        <c:noMultiLvlLbl val="0"/>
      </c:catAx>
      <c:valAx>
        <c:axId val="2451425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sz="11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Kekayaan</a:t>
                </a:r>
                <a:r>
                  <a:rPr lang="en-US" sz="11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Spesies Katang (Spesies/25,52 m2)</a:t>
                </a:r>
                <a:endParaRPr lang="en-US" sz="11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45143704"/>
        <c:crosses val="autoZero"/>
        <c:crossBetween val="between"/>
      </c:valAx>
      <c:spPr>
        <a:noFill/>
        <a:ln w="3175"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'1-5'!$V$4</c:f>
              <c:strCache>
                <c:ptCount val="1"/>
                <c:pt idx="0">
                  <c:v>ACD</c:v>
                </c:pt>
              </c:strCache>
            </c:strRef>
          </c:tx>
          <c:spPr>
            <a:pattFill prst="wdUp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'1-5'!$W$3:$AB$3</c:f>
              <c:strCache>
                <c:ptCount val="6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TOTAL</c:v>
                </c:pt>
              </c:strCache>
            </c:strRef>
          </c:cat>
          <c:val>
            <c:numRef>
              <c:f>'1-5'!$W$4:$AB$4</c:f>
              <c:numCache>
                <c:formatCode>0%</c:formatCode>
                <c:ptCount val="6"/>
                <c:pt idx="0">
                  <c:v>2.0833333333333333E-3</c:v>
                </c:pt>
                <c:pt idx="1">
                  <c:v>1.0416666666666667E-3</c:v>
                </c:pt>
                <c:pt idx="2">
                  <c:v>3.1250000000000002E-3</c:v>
                </c:pt>
                <c:pt idx="3">
                  <c:v>2.0833333333333333E-3</c:v>
                </c:pt>
                <c:pt idx="4">
                  <c:v>1.0416666666666667E-3</c:v>
                </c:pt>
                <c:pt idx="5">
                  <c:v>9.3749999999999997E-3</c:v>
                </c:pt>
              </c:numCache>
            </c:numRef>
          </c:val>
        </c:ser>
        <c:ser>
          <c:idx val="2"/>
          <c:order val="2"/>
          <c:tx>
            <c:strRef>
              <c:f>'1-5'!$V$5</c:f>
              <c:strCache>
                <c:ptCount val="1"/>
                <c:pt idx="0">
                  <c:v>CS</c:v>
                </c:pt>
              </c:strCache>
            </c:strRef>
          </c:tx>
          <c:spPr>
            <a:pattFill prst="pct10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'1-5'!$W$3:$AB$3</c:f>
              <c:strCache>
                <c:ptCount val="6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TOTAL</c:v>
                </c:pt>
              </c:strCache>
            </c:strRef>
          </c:cat>
          <c:val>
            <c:numRef>
              <c:f>'1-5'!$W$5:$AB$5</c:f>
              <c:numCache>
                <c:formatCode>0%</c:formatCode>
                <c:ptCount val="6"/>
                <c:pt idx="0">
                  <c:v>6.2500000000000003E-3</c:v>
                </c:pt>
                <c:pt idx="1">
                  <c:v>5.208333333333333E-3</c:v>
                </c:pt>
                <c:pt idx="2">
                  <c:v>1.8749999999999999E-2</c:v>
                </c:pt>
                <c:pt idx="3">
                  <c:v>2.0833333333333333E-3</c:v>
                </c:pt>
                <c:pt idx="4">
                  <c:v>0</c:v>
                </c:pt>
                <c:pt idx="5">
                  <c:v>4.583333333333333E-2</c:v>
                </c:pt>
              </c:numCache>
            </c:numRef>
          </c:val>
        </c:ser>
        <c:ser>
          <c:idx val="3"/>
          <c:order val="3"/>
          <c:tx>
            <c:strRef>
              <c:f>'1-5'!$V$6</c:f>
              <c:strCache>
                <c:ptCount val="1"/>
                <c:pt idx="0">
                  <c:v>CE</c:v>
                </c:pt>
              </c:strCache>
            </c:strRef>
          </c:tx>
          <c:spPr>
            <a:pattFill prst="pct75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'1-5'!$W$3:$AB$3</c:f>
              <c:strCache>
                <c:ptCount val="6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TOTAL</c:v>
                </c:pt>
              </c:strCache>
            </c:strRef>
          </c:cat>
          <c:val>
            <c:numRef>
              <c:f>'1-5'!$W$6:$AB$6</c:f>
              <c:numCache>
                <c:formatCode>0%</c:formatCode>
                <c:ptCount val="6"/>
                <c:pt idx="0">
                  <c:v>9.3749999999999997E-3</c:v>
                </c:pt>
                <c:pt idx="1">
                  <c:v>3.1250000000000002E-3</c:v>
                </c:pt>
                <c:pt idx="2">
                  <c:v>2.0833333333333332E-2</c:v>
                </c:pt>
                <c:pt idx="3">
                  <c:v>0</c:v>
                </c:pt>
                <c:pt idx="4">
                  <c:v>0</c:v>
                </c:pt>
                <c:pt idx="5">
                  <c:v>6.0416666666666667E-2</c:v>
                </c:pt>
              </c:numCache>
            </c:numRef>
          </c:val>
        </c:ser>
        <c:ser>
          <c:idx val="4"/>
          <c:order val="4"/>
          <c:tx>
            <c:strRef>
              <c:f>'1-5'!$V$7</c:f>
              <c:strCache>
                <c:ptCount val="1"/>
                <c:pt idx="0">
                  <c:v>CM</c:v>
                </c:pt>
              </c:strCache>
            </c:strRef>
          </c:tx>
          <c:spPr>
            <a:pattFill prst="weave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6.1111111111111109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5.5555555555555552E-2"/>
                  <c:y val="-1.388888888888888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5.8333333333333334E-2"/>
                  <c:y val="4.629629629629544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5.5555555555555552E-2"/>
                  <c:y val="-4.629629629629714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5.8333333333333334E-2"/>
                  <c:y val="4.629629629629629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6.9444444444444448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'1-5'!$W$3:$AB$3</c:f>
              <c:strCache>
                <c:ptCount val="6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TOTAL</c:v>
                </c:pt>
              </c:strCache>
            </c:strRef>
          </c:cat>
          <c:val>
            <c:numRef>
              <c:f>'1-5'!$W$7:$AB$7</c:f>
              <c:numCache>
                <c:formatCode>0%</c:formatCode>
                <c:ptCount val="6"/>
                <c:pt idx="0">
                  <c:v>0.19895833333333332</c:v>
                </c:pt>
                <c:pt idx="1">
                  <c:v>0.32916666666666666</c:v>
                </c:pt>
                <c:pt idx="2">
                  <c:v>0.16562499999999999</c:v>
                </c:pt>
                <c:pt idx="3">
                  <c:v>0.10208333333333333</c:v>
                </c:pt>
                <c:pt idx="4">
                  <c:v>0.12708333333333333</c:v>
                </c:pt>
                <c:pt idx="5">
                  <c:v>0.86562499999999998</c:v>
                </c:pt>
              </c:numCache>
            </c:numRef>
          </c:val>
        </c:ser>
        <c:ser>
          <c:idx val="5"/>
          <c:order val="5"/>
          <c:tx>
            <c:strRef>
              <c:f>'1-5'!$V$8</c:f>
              <c:strCache>
                <c:ptCount val="1"/>
                <c:pt idx="0">
                  <c:v>CHL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'1-5'!$W$3:$AB$3</c:f>
              <c:strCache>
                <c:ptCount val="6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TOTAL</c:v>
                </c:pt>
              </c:strCache>
            </c:strRef>
          </c:cat>
          <c:val>
            <c:numRef>
              <c:f>'1-5'!$W$8:$AB$8</c:f>
              <c:numCache>
                <c:formatCode>0%</c:formatCode>
                <c:ptCount val="6"/>
                <c:pt idx="0">
                  <c:v>2.0833333333333333E-3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2.0833333333333333E-3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5145664"/>
        <c:axId val="24514409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Komposisi!#REF!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'1-5'!$W$3:$AB$3</c15:sqref>
                        </c15:formulaRef>
                      </c:ext>
                    </c:extLst>
                    <c:strCache>
                      <c:ptCount val="6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  <c:pt idx="4">
                        <c:v>T5</c:v>
                      </c:pt>
                      <c:pt idx="5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Komposisi!#REF!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245145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Transek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45144096"/>
        <c:crosses val="autoZero"/>
        <c:auto val="1"/>
        <c:lblAlgn val="ctr"/>
        <c:lblOffset val="100"/>
        <c:noMultiLvlLbl val="0"/>
      </c:catAx>
      <c:valAx>
        <c:axId val="2451440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Komposisi</a:t>
                </a:r>
                <a:r>
                  <a:rPr lang="en-US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bentuk pertumbuhan (%)</a:t>
                </a:r>
                <a:endParaRPr lang="en-US">
                  <a:solidFill>
                    <a:sysClr val="windowText" lastClr="0000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45145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'Ks Spesies'!$Q$3</c:f>
              <c:strCache>
                <c:ptCount val="1"/>
                <c:pt idx="0">
                  <c:v>Favites paraflexuosa</c:v>
                </c:pt>
              </c:strCache>
            </c:strRef>
          </c:tx>
          <c:spPr>
            <a:pattFill prst="dkVert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4.8582995951417005E-2"/>
                  <c:y val="-4.653867675517773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6.4777327935222728E-2"/>
                  <c:y val="4.653867675517602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5.6680161943319839E-2"/>
                  <c:y val="-2.32693383775885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5.6680161943319839E-2"/>
                  <c:y val="-4.653867675517773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5.3981106612685563E-2"/>
                  <c:y val="1.39616030265530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5.6680161943319637E-2"/>
                  <c:y val="4.653867675517687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'Ks Spesies'!$R$2:$W$2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Spesies'!$R$3:$W$3</c:f>
              <c:numCache>
                <c:formatCode>0%</c:formatCode>
                <c:ptCount val="6"/>
                <c:pt idx="0">
                  <c:v>5.4166666666666669E-2</c:v>
                </c:pt>
                <c:pt idx="1">
                  <c:v>0.10104166666666667</c:v>
                </c:pt>
                <c:pt idx="2">
                  <c:v>1.9791666666666666E-2</c:v>
                </c:pt>
                <c:pt idx="3">
                  <c:v>1.3541666666666667E-2</c:v>
                </c:pt>
                <c:pt idx="4">
                  <c:v>3.3333333333333333E-2</c:v>
                </c:pt>
                <c:pt idx="5">
                  <c:v>0.22187499999999999</c:v>
                </c:pt>
              </c:numCache>
            </c:numRef>
          </c:val>
        </c:ser>
        <c:ser>
          <c:idx val="1"/>
          <c:order val="1"/>
          <c:tx>
            <c:strRef>
              <c:f>'Ks Spesies'!$Q$4</c:f>
              <c:strCache>
                <c:ptCount val="1"/>
                <c:pt idx="0">
                  <c:v>Goniastrea sp.</c:v>
                </c:pt>
              </c:strCache>
            </c:strRef>
          </c:tx>
          <c:spPr>
            <a:pattFill prst="weave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5.668016194331963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'Ks Spesies'!$R$2:$W$2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Spesies'!$R$4:$W$4</c:f>
              <c:numCache>
                <c:formatCode>0%</c:formatCode>
                <c:ptCount val="6"/>
                <c:pt idx="0">
                  <c:v>3.5416666666666666E-2</c:v>
                </c:pt>
                <c:pt idx="1">
                  <c:v>1.3541666666666667E-2</c:v>
                </c:pt>
                <c:pt idx="2">
                  <c:v>1.1458333333333333E-2</c:v>
                </c:pt>
                <c:pt idx="3">
                  <c:v>1.7708333333333333E-2</c:v>
                </c:pt>
                <c:pt idx="4">
                  <c:v>3.7499999999999999E-2</c:v>
                </c:pt>
                <c:pt idx="5">
                  <c:v>0.11562500000000001</c:v>
                </c:pt>
              </c:numCache>
            </c:numRef>
          </c:val>
        </c:ser>
        <c:ser>
          <c:idx val="2"/>
          <c:order val="2"/>
          <c:tx>
            <c:strRef>
              <c:f>'Ks Spesies'!$Q$5</c:f>
              <c:strCache>
                <c:ptCount val="1"/>
                <c:pt idx="0">
                  <c:v>G. favulus</c:v>
                </c:pt>
              </c:strCache>
            </c:strRef>
          </c:tx>
          <c:spPr>
            <a:pattFill prst="wdUp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5.9379217273954114E-2"/>
                  <c:y val="-9.307735351035460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'Ks Spesies'!$R$2:$W$2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Spesies'!$R$5:$W$5</c:f>
              <c:numCache>
                <c:formatCode>0%</c:formatCode>
                <c:ptCount val="6"/>
                <c:pt idx="0">
                  <c:v>2.7083333333333334E-2</c:v>
                </c:pt>
                <c:pt idx="1">
                  <c:v>3.5416666666666666E-2</c:v>
                </c:pt>
                <c:pt idx="2">
                  <c:v>1.6666666666666666E-2</c:v>
                </c:pt>
                <c:pt idx="3">
                  <c:v>1.0416666666666666E-2</c:v>
                </c:pt>
                <c:pt idx="4">
                  <c:v>1.6666666666666666E-2</c:v>
                </c:pt>
                <c:pt idx="5">
                  <c:v>0.10625</c:v>
                </c:pt>
              </c:numCache>
            </c:numRef>
          </c:val>
        </c:ser>
        <c:ser>
          <c:idx val="3"/>
          <c:order val="3"/>
          <c:tx>
            <c:strRef>
              <c:f>'Ks Spesies'!$Q$6</c:f>
              <c:strCache>
                <c:ptCount val="1"/>
                <c:pt idx="0">
                  <c:v>F. abdita</c:v>
                </c:pt>
              </c:strCache>
            </c:strRef>
          </c:tx>
          <c:spPr>
            <a:pattFill prst="smCheck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5"/>
              <c:layout>
                <c:manualLayout>
                  <c:x val="5.9379217273954114E-2"/>
                  <c:y val="-4.653867675517687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'Ks Spesies'!$R$2:$W$2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Spesies'!$R$6:$W$6</c:f>
              <c:numCache>
                <c:formatCode>0%</c:formatCode>
                <c:ptCount val="6"/>
                <c:pt idx="0">
                  <c:v>1.0416666666666666E-2</c:v>
                </c:pt>
                <c:pt idx="1">
                  <c:v>3.7499999999999999E-2</c:v>
                </c:pt>
                <c:pt idx="2">
                  <c:v>3.0208333333333334E-2</c:v>
                </c:pt>
                <c:pt idx="3">
                  <c:v>1.6666666666666666E-2</c:v>
                </c:pt>
                <c:pt idx="4">
                  <c:v>2.0833333333333333E-3</c:v>
                </c:pt>
                <c:pt idx="5">
                  <c:v>9.6875000000000003E-2</c:v>
                </c:pt>
              </c:numCache>
            </c:numRef>
          </c:val>
        </c:ser>
        <c:ser>
          <c:idx val="4"/>
          <c:order val="4"/>
          <c:tx>
            <c:strRef>
              <c:f>'Ks Spesies'!$Q$7</c:f>
              <c:strCache>
                <c:ptCount val="1"/>
                <c:pt idx="0">
                  <c:v>F. pentagona</c:v>
                </c:pt>
              </c:strCache>
            </c:strRef>
          </c:tx>
          <c:spPr>
            <a:pattFill prst="ltHorz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5"/>
              <c:layout>
                <c:manualLayout>
                  <c:x val="5.3981106612685563E-2"/>
                  <c:y val="4.6538676755176877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'Ks Spesies'!$R$2:$W$2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Spesies'!$R$7:$W$7</c:f>
              <c:numCache>
                <c:formatCode>0%</c:formatCode>
                <c:ptCount val="6"/>
                <c:pt idx="0">
                  <c:v>8.3333333333333332E-3</c:v>
                </c:pt>
                <c:pt idx="1">
                  <c:v>6.145833333333333E-2</c:v>
                </c:pt>
                <c:pt idx="2">
                  <c:v>7.2916666666666668E-3</c:v>
                </c:pt>
                <c:pt idx="3">
                  <c:v>1.5625E-2</c:v>
                </c:pt>
                <c:pt idx="4">
                  <c:v>2.0833333333333333E-3</c:v>
                </c:pt>
                <c:pt idx="5">
                  <c:v>9.4791666666666677E-2</c:v>
                </c:pt>
              </c:numCache>
            </c:numRef>
          </c:val>
        </c:ser>
        <c:ser>
          <c:idx val="5"/>
          <c:order val="5"/>
          <c:tx>
            <c:strRef>
              <c:f>'Ks Spesies'!$Q$8</c:f>
              <c:strCache>
                <c:ptCount val="1"/>
                <c:pt idx="0">
                  <c:v>Lainnya</c:v>
                </c:pt>
              </c:strCache>
            </c:strRef>
          </c:tx>
          <c:spPr>
            <a:pattFill prst="pct80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5"/>
              <c:layout>
                <c:manualLayout>
                  <c:x val="5.9379217273954114E-2"/>
                  <c:y val="4.653867675517687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'Ks Spesies'!$R$2:$W$2</c:f>
              <c:strCache>
                <c:ptCount val="6"/>
                <c:pt idx="0">
                  <c:v>Transek 1</c:v>
                </c:pt>
                <c:pt idx="1">
                  <c:v>Transek 2</c:v>
                </c:pt>
                <c:pt idx="2">
                  <c:v>Transek 3</c:v>
                </c:pt>
                <c:pt idx="3">
                  <c:v>Transek 4</c:v>
                </c:pt>
                <c:pt idx="4">
                  <c:v>Transek 5</c:v>
                </c:pt>
                <c:pt idx="5">
                  <c:v>Total </c:v>
                </c:pt>
              </c:strCache>
            </c:strRef>
          </c:cat>
          <c:val>
            <c:numRef>
              <c:f>'Ks Spesies'!$R$8:$W$8</c:f>
              <c:numCache>
                <c:formatCode>0%</c:formatCode>
                <c:ptCount val="6"/>
                <c:pt idx="0">
                  <c:v>0.12708333333333333</c:v>
                </c:pt>
                <c:pt idx="1">
                  <c:v>0.12083333333333335</c:v>
                </c:pt>
                <c:pt idx="2">
                  <c:v>0.15208333333333332</c:v>
                </c:pt>
                <c:pt idx="3">
                  <c:v>3.7500000000000006E-2</c:v>
                </c:pt>
                <c:pt idx="4">
                  <c:v>5.1041666666666659E-2</c:v>
                </c:pt>
                <c:pt idx="5">
                  <c:v>0.48854166666666671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278444232"/>
        <c:axId val="278444624"/>
      </c:barChart>
      <c:catAx>
        <c:axId val="278444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78444624"/>
        <c:crosses val="autoZero"/>
        <c:auto val="1"/>
        <c:lblAlgn val="ctr"/>
        <c:lblOffset val="100"/>
        <c:noMultiLvlLbl val="0"/>
      </c:catAx>
      <c:valAx>
        <c:axId val="2784446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Komposisi</a:t>
                </a:r>
                <a:r>
                  <a:rPr lang="en-US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Spesies (%)</a:t>
                </a:r>
                <a:endParaRPr lang="en-US">
                  <a:solidFill>
                    <a:sysClr val="windowText" lastClr="0000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78444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709033334395953"/>
          <c:y val="0.83138707609953122"/>
          <c:w val="0.78298511269087312"/>
          <c:h val="0.149997453198398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1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74000">
                  <a:schemeClr val="accent1">
                    <a:lumMod val="45000"/>
                    <a:lumOff val="55000"/>
                  </a:schemeClr>
                </a:gs>
                <a:gs pos="83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5400000" scaled="1"/>
            </a:gradFill>
            <a:ln>
              <a:solidFill>
                <a:schemeClr val="accent1"/>
              </a:solidFill>
            </a:ln>
            <a:effectLst/>
          </c:spPr>
          <c:invertIfNegative val="0"/>
          <c:cat>
            <c:strRef>
              <c:f>'Ks Spesies'!$Q$3:$Q$8</c:f>
              <c:strCache>
                <c:ptCount val="6"/>
                <c:pt idx="0">
                  <c:v>Favites paraflexuosa</c:v>
                </c:pt>
                <c:pt idx="1">
                  <c:v>Goniastrea sp.</c:v>
                </c:pt>
                <c:pt idx="2">
                  <c:v>G. favulus</c:v>
                </c:pt>
                <c:pt idx="3">
                  <c:v>F. abdita</c:v>
                </c:pt>
                <c:pt idx="4">
                  <c:v>F. pentagona</c:v>
                </c:pt>
                <c:pt idx="5">
                  <c:v>Lainnya</c:v>
                </c:pt>
              </c:strCache>
            </c:strRef>
          </c:cat>
          <c:val>
            <c:numRef>
              <c:f>'Ks Spesies'!$W$3:$W$8</c:f>
              <c:numCache>
                <c:formatCode>0%</c:formatCode>
                <c:ptCount val="6"/>
                <c:pt idx="0">
                  <c:v>0.22187499999999999</c:v>
                </c:pt>
                <c:pt idx="1">
                  <c:v>0.11562500000000001</c:v>
                </c:pt>
                <c:pt idx="2">
                  <c:v>0.10625</c:v>
                </c:pt>
                <c:pt idx="3">
                  <c:v>9.6875000000000003E-2</c:v>
                </c:pt>
                <c:pt idx="4">
                  <c:v>9.4791666666666677E-2</c:v>
                </c:pt>
                <c:pt idx="5">
                  <c:v>0.48854166666666671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5144488"/>
        <c:axId val="245146056"/>
      </c:barChart>
      <c:catAx>
        <c:axId val="245144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45146056"/>
        <c:crosses val="autoZero"/>
        <c:auto val="1"/>
        <c:lblAlgn val="ctr"/>
        <c:lblOffset val="100"/>
        <c:noMultiLvlLbl val="0"/>
      </c:catAx>
      <c:valAx>
        <c:axId val="2451460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Komposisi</a:t>
                </a:r>
                <a:r>
                  <a:rPr lang="en-US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spesies (%)</a:t>
                </a:r>
                <a:endParaRPr 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45144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459242</xdr:colOff>
      <xdr:row>132</xdr:row>
      <xdr:rowOff>17009</xdr:rowOff>
    </xdr:from>
    <xdr:to>
      <xdr:col>33</xdr:col>
      <xdr:colOff>472963</xdr:colOff>
      <xdr:row>146</xdr:row>
      <xdr:rowOff>108026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122463</xdr:colOff>
      <xdr:row>131</xdr:row>
      <xdr:rowOff>145595</xdr:rowOff>
    </xdr:from>
    <xdr:to>
      <xdr:col>26</xdr:col>
      <xdr:colOff>68034</xdr:colOff>
      <xdr:row>147</xdr:row>
      <xdr:rowOff>190499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4</xdr:row>
      <xdr:rowOff>109537</xdr:rowOff>
    </xdr:from>
    <xdr:to>
      <xdr:col>14</xdr:col>
      <xdr:colOff>314325</xdr:colOff>
      <xdr:row>18</xdr:row>
      <xdr:rowOff>185737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111124</xdr:colOff>
      <xdr:row>10</xdr:row>
      <xdr:rowOff>25399</xdr:rowOff>
    </xdr:from>
    <xdr:to>
      <xdr:col>45</xdr:col>
      <xdr:colOff>222249</xdr:colOff>
      <xdr:row>25</xdr:row>
      <xdr:rowOff>111124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95250</xdr:colOff>
      <xdr:row>9</xdr:row>
      <xdr:rowOff>169334</xdr:rowOff>
    </xdr:from>
    <xdr:to>
      <xdr:col>27</xdr:col>
      <xdr:colOff>380999</xdr:colOff>
      <xdr:row>23</xdr:row>
      <xdr:rowOff>32808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714375</xdr:colOff>
      <xdr:row>10</xdr:row>
      <xdr:rowOff>23812</xdr:rowOff>
    </xdr:from>
    <xdr:to>
      <xdr:col>15</xdr:col>
      <xdr:colOff>523875</xdr:colOff>
      <xdr:row>24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390525</xdr:colOff>
      <xdr:row>8</xdr:row>
      <xdr:rowOff>147637</xdr:rowOff>
    </xdr:from>
    <xdr:to>
      <xdr:col>23</xdr:col>
      <xdr:colOff>257175</xdr:colOff>
      <xdr:row>23</xdr:row>
      <xdr:rowOff>33337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51"/>
  <sheetViews>
    <sheetView topLeftCell="A96" zoomScale="60" zoomScaleNormal="60" zoomScaleSheetLayoutView="40" workbookViewId="0">
      <selection activeCell="N99" sqref="N99:W122"/>
    </sheetView>
  </sheetViews>
  <sheetFormatPr defaultRowHeight="15" x14ac:dyDescent="0.25"/>
  <cols>
    <col min="2" max="2" width="17.5703125" customWidth="1"/>
    <col min="3" max="3" width="14" customWidth="1"/>
    <col min="4" max="4" width="24.42578125" customWidth="1"/>
    <col min="5" max="5" width="18.85546875" customWidth="1"/>
    <col min="6" max="6" width="24.85546875" customWidth="1"/>
    <col min="7" max="7" width="19.5703125" customWidth="1"/>
    <col min="8" max="8" width="9.42578125" customWidth="1"/>
    <col min="9" max="9" width="8.7109375" customWidth="1"/>
    <col min="10" max="10" width="12" customWidth="1"/>
    <col min="11" max="11" width="10.28515625" customWidth="1"/>
    <col min="12" max="13" width="9.7109375" customWidth="1"/>
    <col min="14" max="14" width="10" customWidth="1"/>
    <col min="15" max="15" width="9.85546875" customWidth="1"/>
    <col min="16" max="16" width="7.7109375" customWidth="1"/>
    <col min="17" max="17" width="7.140625" customWidth="1"/>
    <col min="18" max="18" width="11.42578125" customWidth="1"/>
    <col min="19" max="19" width="11" customWidth="1"/>
    <col min="20" max="20" width="10.42578125" customWidth="1"/>
    <col min="21" max="21" width="10" customWidth="1"/>
    <col min="22" max="22" width="9.85546875" customWidth="1"/>
    <col min="23" max="23" width="15.42578125" customWidth="1"/>
    <col min="24" max="24" width="5.5703125" customWidth="1"/>
    <col min="25" max="25" width="6.85546875" customWidth="1"/>
    <col min="26" max="26" width="6.28515625" customWidth="1"/>
    <col min="27" max="27" width="5.5703125" customWidth="1"/>
    <col min="28" max="28" width="9.42578125" customWidth="1"/>
    <col min="32" max="33" width="10" customWidth="1"/>
  </cols>
  <sheetData>
    <row r="1" spans="1:38" ht="15.75" x14ac:dyDescent="0.25">
      <c r="A1" s="169" t="s">
        <v>0</v>
      </c>
      <c r="B1" s="169"/>
      <c r="C1" s="169"/>
      <c r="D1" s="8" t="s">
        <v>61</v>
      </c>
      <c r="E1" s="7" t="s">
        <v>41</v>
      </c>
      <c r="F1" s="7" t="s">
        <v>43</v>
      </c>
      <c r="G1" s="7"/>
      <c r="I1" s="13" t="s">
        <v>72</v>
      </c>
      <c r="J1" s="13"/>
    </row>
    <row r="2" spans="1:38" ht="15.75" x14ac:dyDescent="0.25">
      <c r="A2" s="169" t="s">
        <v>1</v>
      </c>
      <c r="B2" s="169"/>
      <c r="C2" s="9">
        <v>0.65555555555555556</v>
      </c>
      <c r="D2" s="8"/>
      <c r="E2" s="7" t="s">
        <v>42</v>
      </c>
      <c r="F2" s="7" t="s">
        <v>44</v>
      </c>
      <c r="G2" s="7"/>
      <c r="I2" s="13" t="s">
        <v>73</v>
      </c>
      <c r="J2" s="13"/>
    </row>
    <row r="3" spans="1:38" ht="15.75" x14ac:dyDescent="0.25">
      <c r="A3" s="169" t="s">
        <v>40</v>
      </c>
      <c r="B3" s="169"/>
      <c r="C3" s="8">
        <v>1</v>
      </c>
      <c r="D3" s="8"/>
      <c r="E3" s="10"/>
      <c r="F3" s="10"/>
      <c r="G3" s="10"/>
    </row>
    <row r="5" spans="1:38" ht="38.25" x14ac:dyDescent="0.25">
      <c r="A5" s="11" t="s">
        <v>2</v>
      </c>
      <c r="B5" s="11" t="s">
        <v>6</v>
      </c>
      <c r="C5" s="11" t="s">
        <v>3</v>
      </c>
      <c r="D5" s="11" t="s">
        <v>65</v>
      </c>
      <c r="E5" s="11" t="s">
        <v>66</v>
      </c>
      <c r="G5" s="102" t="s">
        <v>130</v>
      </c>
      <c r="H5" s="103" t="s">
        <v>101</v>
      </c>
      <c r="I5" s="103" t="s">
        <v>112</v>
      </c>
      <c r="J5" s="104" t="s">
        <v>64</v>
      </c>
      <c r="K5" s="104" t="s">
        <v>102</v>
      </c>
      <c r="L5" s="103" t="s">
        <v>113</v>
      </c>
      <c r="M5" s="104" t="s">
        <v>114</v>
      </c>
      <c r="N5" s="103" t="s">
        <v>103</v>
      </c>
      <c r="O5" s="103" t="s">
        <v>104</v>
      </c>
      <c r="P5" s="104" t="s">
        <v>37</v>
      </c>
      <c r="Q5" s="104" t="s">
        <v>34</v>
      </c>
      <c r="R5" s="104" t="s">
        <v>18</v>
      </c>
      <c r="S5" s="104" t="s">
        <v>30</v>
      </c>
      <c r="T5" s="103" t="s">
        <v>68</v>
      </c>
      <c r="U5" s="103" t="s">
        <v>115</v>
      </c>
      <c r="V5" s="103" t="s">
        <v>116</v>
      </c>
      <c r="W5" s="103" t="s">
        <v>117</v>
      </c>
      <c r="X5" s="103" t="s">
        <v>118</v>
      </c>
      <c r="Y5" s="103" t="s">
        <v>119</v>
      </c>
      <c r="Z5" s="103" t="s">
        <v>120</v>
      </c>
      <c r="AA5" s="103" t="s">
        <v>121</v>
      </c>
      <c r="AB5" s="104" t="s">
        <v>55</v>
      </c>
      <c r="AC5" s="104" t="s">
        <v>13</v>
      </c>
      <c r="AD5" s="103" t="s">
        <v>122</v>
      </c>
      <c r="AE5" s="105" t="s">
        <v>97</v>
      </c>
      <c r="AF5" s="104" t="s">
        <v>123</v>
      </c>
      <c r="AG5" s="104" t="s">
        <v>58</v>
      </c>
      <c r="AH5" s="104" t="s">
        <v>69</v>
      </c>
      <c r="AI5" s="104" t="s">
        <v>124</v>
      </c>
      <c r="AJ5" s="103" t="s">
        <v>125</v>
      </c>
      <c r="AK5" s="104" t="s">
        <v>60</v>
      </c>
      <c r="AL5" s="106" t="s">
        <v>126</v>
      </c>
    </row>
    <row r="6" spans="1:38" ht="15.75" x14ac:dyDescent="0.25">
      <c r="A6" s="1">
        <v>1</v>
      </c>
      <c r="B6" s="1" t="s">
        <v>7</v>
      </c>
      <c r="C6" s="1" t="s">
        <v>8</v>
      </c>
      <c r="D6" s="1" t="s">
        <v>33</v>
      </c>
      <c r="E6" s="1">
        <v>3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3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11</v>
      </c>
    </row>
    <row r="7" spans="1:38" ht="15.75" x14ac:dyDescent="0.25">
      <c r="A7" s="1">
        <v>2</v>
      </c>
      <c r="B7" s="1" t="s">
        <v>19</v>
      </c>
      <c r="C7" s="1" t="s">
        <v>11</v>
      </c>
      <c r="D7" s="1" t="s">
        <v>67</v>
      </c>
      <c r="E7" s="1">
        <v>11</v>
      </c>
      <c r="G7">
        <v>2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1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</row>
    <row r="8" spans="1:38" ht="15.75" x14ac:dyDescent="0.25">
      <c r="A8" s="1"/>
      <c r="B8" s="1" t="s">
        <v>19</v>
      </c>
      <c r="C8" s="1" t="s">
        <v>8</v>
      </c>
      <c r="D8" s="1" t="s">
        <v>32</v>
      </c>
      <c r="E8" s="1">
        <v>1</v>
      </c>
      <c r="G8">
        <v>3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8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</row>
    <row r="9" spans="1:38" ht="15.75" x14ac:dyDescent="0.25">
      <c r="A9" s="1">
        <v>3</v>
      </c>
      <c r="B9" s="1" t="s">
        <v>7</v>
      </c>
      <c r="C9" s="1" t="s">
        <v>8</v>
      </c>
      <c r="D9" s="1" t="s">
        <v>33</v>
      </c>
      <c r="E9" s="1">
        <v>8</v>
      </c>
      <c r="G9">
        <v>4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13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</row>
    <row r="10" spans="1:38" ht="15.75" x14ac:dyDescent="0.25">
      <c r="A10" s="1">
        <v>4</v>
      </c>
      <c r="B10" s="1" t="s">
        <v>7</v>
      </c>
      <c r="C10" s="1" t="s">
        <v>8</v>
      </c>
      <c r="D10" s="1" t="s">
        <v>33</v>
      </c>
      <c r="E10" s="1">
        <v>13</v>
      </c>
      <c r="G10">
        <v>5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12</v>
      </c>
    </row>
    <row r="11" spans="1:38" ht="15.75" x14ac:dyDescent="0.25">
      <c r="A11" s="1">
        <v>5</v>
      </c>
      <c r="B11" s="1" t="s">
        <v>19</v>
      </c>
      <c r="C11" s="1" t="s">
        <v>11</v>
      </c>
      <c r="D11" s="1" t="s">
        <v>67</v>
      </c>
      <c r="E11" s="1">
        <v>12</v>
      </c>
      <c r="G11">
        <v>6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1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</row>
    <row r="12" spans="1:38" ht="15.75" x14ac:dyDescent="0.25">
      <c r="A12" s="1">
        <v>6</v>
      </c>
      <c r="B12" s="1" t="s">
        <v>7</v>
      </c>
      <c r="C12" s="1" t="s">
        <v>12</v>
      </c>
      <c r="D12" s="1" t="s">
        <v>13</v>
      </c>
      <c r="E12" s="1">
        <v>1</v>
      </c>
      <c r="G12">
        <v>7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5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</row>
    <row r="13" spans="1:38" ht="15.75" x14ac:dyDescent="0.25">
      <c r="A13" s="1"/>
      <c r="B13" s="1" t="s">
        <v>7</v>
      </c>
      <c r="C13" s="1" t="s">
        <v>8</v>
      </c>
      <c r="D13" s="1" t="s">
        <v>34</v>
      </c>
      <c r="E13" s="1">
        <v>1</v>
      </c>
      <c r="G13">
        <v>8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1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7</v>
      </c>
      <c r="AL13">
        <v>0</v>
      </c>
    </row>
    <row r="14" spans="1:38" ht="15.75" x14ac:dyDescent="0.25">
      <c r="A14" s="1">
        <v>7</v>
      </c>
      <c r="B14" s="1" t="s">
        <v>7</v>
      </c>
      <c r="C14" s="1" t="s">
        <v>8</v>
      </c>
      <c r="D14" s="1" t="s">
        <v>33</v>
      </c>
      <c r="E14" s="1">
        <v>5</v>
      </c>
      <c r="G14">
        <v>9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4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</row>
    <row r="15" spans="1:38" ht="15.75" x14ac:dyDescent="0.25">
      <c r="A15" s="1">
        <v>8</v>
      </c>
      <c r="B15" s="1" t="s">
        <v>22</v>
      </c>
      <c r="C15" s="1" t="s">
        <v>35</v>
      </c>
      <c r="D15" s="1" t="s">
        <v>67</v>
      </c>
      <c r="E15" s="1">
        <v>1</v>
      </c>
      <c r="G15">
        <v>10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3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</row>
    <row r="16" spans="1:38" ht="15.75" x14ac:dyDescent="0.25">
      <c r="A16" s="1"/>
      <c r="B16" s="1" t="s">
        <v>22</v>
      </c>
      <c r="C16" s="1" t="s">
        <v>11</v>
      </c>
      <c r="D16" s="1" t="s">
        <v>60</v>
      </c>
      <c r="E16" s="1">
        <v>7</v>
      </c>
      <c r="G16">
        <v>11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</row>
    <row r="17" spans="1:38" ht="15.75" x14ac:dyDescent="0.25">
      <c r="A17" s="1">
        <v>9</v>
      </c>
      <c r="B17" s="1" t="s">
        <v>19</v>
      </c>
      <c r="C17" s="1" t="s">
        <v>20</v>
      </c>
      <c r="D17" s="1" t="s">
        <v>9</v>
      </c>
      <c r="E17" s="1">
        <v>4</v>
      </c>
      <c r="G17">
        <v>12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7</v>
      </c>
    </row>
    <row r="18" spans="1:38" ht="15.75" x14ac:dyDescent="0.25">
      <c r="A18" s="1">
        <v>10</v>
      </c>
      <c r="B18" s="1" t="s">
        <v>19</v>
      </c>
      <c r="C18" s="1" t="s">
        <v>20</v>
      </c>
      <c r="D18" s="1" t="s">
        <v>9</v>
      </c>
      <c r="E18" s="1">
        <v>3</v>
      </c>
      <c r="G18">
        <v>13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4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3</v>
      </c>
    </row>
    <row r="19" spans="1:38" ht="15.75" x14ac:dyDescent="0.25">
      <c r="A19" s="1">
        <v>11</v>
      </c>
      <c r="B19" s="1">
        <v>0</v>
      </c>
      <c r="C19" s="1"/>
      <c r="D19" s="1"/>
      <c r="E19" s="1">
        <v>0</v>
      </c>
      <c r="G19">
        <v>14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</row>
    <row r="20" spans="1:38" ht="15.75" x14ac:dyDescent="0.25">
      <c r="A20" s="1">
        <v>12</v>
      </c>
      <c r="B20" s="1" t="s">
        <v>19</v>
      </c>
      <c r="C20" s="1" t="s">
        <v>11</v>
      </c>
      <c r="D20" s="1" t="s">
        <v>67</v>
      </c>
      <c r="E20" s="1">
        <v>7</v>
      </c>
      <c r="G20">
        <v>15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</row>
    <row r="21" spans="1:38" ht="15.75" x14ac:dyDescent="0.25">
      <c r="A21" s="1">
        <v>13</v>
      </c>
      <c r="B21" s="1" t="s">
        <v>7</v>
      </c>
      <c r="C21" s="1" t="s">
        <v>12</v>
      </c>
      <c r="D21" s="1" t="s">
        <v>13</v>
      </c>
      <c r="E21" s="1">
        <v>4</v>
      </c>
      <c r="G21">
        <v>16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</row>
    <row r="22" spans="1:38" ht="15.75" x14ac:dyDescent="0.25">
      <c r="A22" s="1"/>
      <c r="B22" s="1" t="s">
        <v>19</v>
      </c>
      <c r="C22" s="1" t="s">
        <v>11</v>
      </c>
      <c r="D22" s="1" t="s">
        <v>67</v>
      </c>
      <c r="E22" s="1">
        <v>3</v>
      </c>
      <c r="G22">
        <v>17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1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</row>
    <row r="23" spans="1:38" ht="15.75" x14ac:dyDescent="0.25">
      <c r="A23" s="1">
        <v>14</v>
      </c>
      <c r="B23" s="1" t="s">
        <v>7</v>
      </c>
      <c r="C23" s="1" t="s">
        <v>36</v>
      </c>
      <c r="D23" s="1" t="s">
        <v>67</v>
      </c>
      <c r="E23" s="1">
        <v>1</v>
      </c>
      <c r="G23">
        <v>18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</row>
    <row r="24" spans="1:38" ht="15.75" x14ac:dyDescent="0.25">
      <c r="A24" s="1">
        <v>15</v>
      </c>
      <c r="B24" s="1">
        <v>0</v>
      </c>
      <c r="C24" s="1"/>
      <c r="D24" s="1"/>
      <c r="E24" s="1">
        <v>0</v>
      </c>
      <c r="G24">
        <v>19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</row>
    <row r="25" spans="1:38" ht="15.75" x14ac:dyDescent="0.25">
      <c r="A25" s="1">
        <v>16</v>
      </c>
      <c r="B25" s="1">
        <v>0</v>
      </c>
      <c r="C25" s="1"/>
      <c r="D25" s="1"/>
      <c r="E25" s="1">
        <v>0</v>
      </c>
      <c r="G25">
        <v>20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</row>
    <row r="26" spans="1:38" ht="15.75" x14ac:dyDescent="0.25">
      <c r="A26" s="1">
        <v>17</v>
      </c>
      <c r="B26" s="1" t="s">
        <v>7</v>
      </c>
      <c r="C26" s="1" t="s">
        <v>8</v>
      </c>
      <c r="D26" s="1" t="s">
        <v>9</v>
      </c>
      <c r="E26" s="1">
        <v>1</v>
      </c>
      <c r="G26">
        <v>21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5</v>
      </c>
    </row>
    <row r="27" spans="1:38" ht="15.75" x14ac:dyDescent="0.25">
      <c r="A27" s="1">
        <v>18</v>
      </c>
      <c r="B27" s="1">
        <v>0</v>
      </c>
      <c r="C27" s="1"/>
      <c r="D27" s="1"/>
      <c r="E27" s="1">
        <v>0</v>
      </c>
      <c r="G27">
        <v>22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1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</row>
    <row r="28" spans="1:38" ht="15.75" x14ac:dyDescent="0.25">
      <c r="A28" s="1">
        <v>19</v>
      </c>
      <c r="B28" s="1">
        <v>0</v>
      </c>
      <c r="C28" s="1"/>
      <c r="D28" s="1"/>
      <c r="E28" s="1">
        <v>0</v>
      </c>
      <c r="G28">
        <v>23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</row>
    <row r="29" spans="1:38" ht="15.75" x14ac:dyDescent="0.25">
      <c r="A29" s="1">
        <v>20</v>
      </c>
      <c r="B29" s="1">
        <v>0</v>
      </c>
      <c r="C29" s="1"/>
      <c r="D29" s="1"/>
      <c r="E29" s="1">
        <v>0</v>
      </c>
      <c r="G29">
        <v>24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</row>
    <row r="30" spans="1:38" ht="15.75" x14ac:dyDescent="0.25">
      <c r="A30" s="1">
        <v>21</v>
      </c>
      <c r="B30" s="1" t="s">
        <v>19</v>
      </c>
      <c r="C30" s="1" t="s">
        <v>11</v>
      </c>
      <c r="D30" s="1" t="s">
        <v>67</v>
      </c>
      <c r="E30" s="1">
        <v>5</v>
      </c>
      <c r="G30">
        <v>25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</row>
    <row r="31" spans="1:38" ht="15.75" x14ac:dyDescent="0.25">
      <c r="A31" s="1">
        <v>22</v>
      </c>
      <c r="B31" s="1" t="s">
        <v>7</v>
      </c>
      <c r="C31" s="1" t="s">
        <v>8</v>
      </c>
      <c r="D31" s="1" t="s">
        <v>33</v>
      </c>
      <c r="E31" s="1">
        <v>1</v>
      </c>
      <c r="G31">
        <v>26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</row>
    <row r="32" spans="1:38" ht="15.75" x14ac:dyDescent="0.25">
      <c r="A32" s="1">
        <v>23</v>
      </c>
      <c r="B32" s="1">
        <v>0</v>
      </c>
      <c r="C32" s="1"/>
      <c r="D32" s="1"/>
      <c r="E32" s="1">
        <v>0</v>
      </c>
      <c r="G32">
        <v>27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</row>
    <row r="33" spans="1:38" ht="15.75" x14ac:dyDescent="0.25">
      <c r="A33" s="1">
        <v>24</v>
      </c>
      <c r="B33" s="1">
        <v>0</v>
      </c>
      <c r="C33" s="1"/>
      <c r="D33" s="1"/>
      <c r="E33" s="1">
        <v>0</v>
      </c>
      <c r="G33">
        <v>28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</row>
    <row r="34" spans="1:38" ht="15.75" x14ac:dyDescent="0.25">
      <c r="A34" s="1">
        <v>25</v>
      </c>
      <c r="B34" s="1">
        <v>0</v>
      </c>
      <c r="C34" s="1"/>
      <c r="D34" s="1"/>
      <c r="E34" s="1">
        <v>0</v>
      </c>
      <c r="G34">
        <v>29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</row>
    <row r="35" spans="1:38" ht="15.75" x14ac:dyDescent="0.25">
      <c r="A35" s="1">
        <v>26</v>
      </c>
      <c r="B35" s="1">
        <v>0</v>
      </c>
      <c r="C35" s="1"/>
      <c r="D35" s="1"/>
      <c r="E35" s="1">
        <v>0</v>
      </c>
      <c r="G35">
        <v>30</v>
      </c>
      <c r="H35">
        <v>0</v>
      </c>
      <c r="I35">
        <v>1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1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3</v>
      </c>
    </row>
    <row r="36" spans="1:38" ht="15.75" x14ac:dyDescent="0.25">
      <c r="A36" s="1">
        <v>27</v>
      </c>
      <c r="B36" s="1">
        <v>0</v>
      </c>
      <c r="C36" s="1"/>
      <c r="D36" s="1"/>
      <c r="E36" s="1">
        <v>0</v>
      </c>
      <c r="G36">
        <v>31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</row>
    <row r="37" spans="1:38" ht="15.75" x14ac:dyDescent="0.25">
      <c r="A37" s="1">
        <v>28</v>
      </c>
      <c r="B37" s="1">
        <v>0</v>
      </c>
      <c r="C37" s="1"/>
      <c r="D37" s="1"/>
      <c r="E37" s="1">
        <v>0</v>
      </c>
      <c r="G37">
        <v>32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2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</row>
    <row r="38" spans="1:38" ht="15.75" x14ac:dyDescent="0.25">
      <c r="A38" s="1">
        <v>29</v>
      </c>
      <c r="B38" s="1">
        <v>0</v>
      </c>
      <c r="C38" s="1"/>
      <c r="D38" s="1"/>
      <c r="E38" s="1">
        <v>0</v>
      </c>
      <c r="G38">
        <v>33</v>
      </c>
      <c r="H38">
        <v>0</v>
      </c>
      <c r="I38">
        <v>0</v>
      </c>
      <c r="J38">
        <v>0</v>
      </c>
      <c r="K38">
        <v>0</v>
      </c>
      <c r="L38">
        <v>1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</row>
    <row r="39" spans="1:38" ht="15.75" x14ac:dyDescent="0.25">
      <c r="A39" s="1">
        <v>30</v>
      </c>
      <c r="B39" s="1" t="s">
        <v>22</v>
      </c>
      <c r="C39" s="1" t="s">
        <v>21</v>
      </c>
      <c r="D39" s="1" t="s">
        <v>16</v>
      </c>
      <c r="E39" s="1">
        <v>1</v>
      </c>
      <c r="G39">
        <v>34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</row>
    <row r="40" spans="1:38" ht="15.75" x14ac:dyDescent="0.25">
      <c r="A40" s="1"/>
      <c r="B40" s="1" t="s">
        <v>7</v>
      </c>
      <c r="C40" s="1" t="s">
        <v>8</v>
      </c>
      <c r="D40" s="1" t="s">
        <v>9</v>
      </c>
      <c r="E40" s="1">
        <v>1</v>
      </c>
      <c r="G40">
        <v>35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4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</row>
    <row r="41" spans="1:38" ht="15.75" x14ac:dyDescent="0.25">
      <c r="A41" s="1"/>
      <c r="B41" s="1" t="s">
        <v>19</v>
      </c>
      <c r="C41" s="1" t="s">
        <v>11</v>
      </c>
      <c r="D41" s="1" t="s">
        <v>67</v>
      </c>
      <c r="E41" s="1">
        <v>3</v>
      </c>
      <c r="G41">
        <v>36</v>
      </c>
      <c r="H41">
        <v>0</v>
      </c>
      <c r="I41">
        <v>0</v>
      </c>
      <c r="J41">
        <v>0</v>
      </c>
      <c r="K41">
        <v>0</v>
      </c>
      <c r="L41">
        <v>3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</row>
    <row r="42" spans="1:38" ht="15.75" x14ac:dyDescent="0.25">
      <c r="A42" s="1">
        <v>31</v>
      </c>
      <c r="B42" s="1">
        <v>0</v>
      </c>
      <c r="C42" s="1"/>
      <c r="D42" s="1"/>
      <c r="E42" s="1"/>
      <c r="G42">
        <v>37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4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</row>
    <row r="43" spans="1:38" ht="15.75" x14ac:dyDescent="0.25">
      <c r="A43" s="1">
        <v>32</v>
      </c>
      <c r="B43" s="1" t="s">
        <v>7</v>
      </c>
      <c r="C43" s="1" t="s">
        <v>8</v>
      </c>
      <c r="D43" s="1" t="s">
        <v>9</v>
      </c>
      <c r="E43" s="1">
        <v>2</v>
      </c>
      <c r="G43">
        <v>38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4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</row>
    <row r="44" spans="1:38" ht="15.75" x14ac:dyDescent="0.25">
      <c r="A44" s="1">
        <v>33</v>
      </c>
      <c r="B44" s="1" t="s">
        <v>28</v>
      </c>
      <c r="C44" s="1" t="s">
        <v>26</v>
      </c>
      <c r="D44" s="1" t="s">
        <v>16</v>
      </c>
      <c r="E44" s="1">
        <v>1</v>
      </c>
      <c r="G44">
        <v>39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8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</row>
    <row r="45" spans="1:38" ht="15.75" x14ac:dyDescent="0.25">
      <c r="A45" s="1">
        <v>34</v>
      </c>
      <c r="B45" s="1">
        <v>0</v>
      </c>
      <c r="C45" s="1"/>
      <c r="D45" s="1"/>
      <c r="E45" s="1">
        <v>0</v>
      </c>
      <c r="G45">
        <v>40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5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</row>
    <row r="46" spans="1:38" ht="15.75" x14ac:dyDescent="0.25">
      <c r="A46" s="1">
        <v>35</v>
      </c>
      <c r="B46" s="1" t="s">
        <v>28</v>
      </c>
      <c r="C46" s="1" t="s">
        <v>8</v>
      </c>
      <c r="D46" s="1" t="s">
        <v>30</v>
      </c>
      <c r="E46" s="1">
        <v>4</v>
      </c>
      <c r="G46">
        <v>41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</row>
    <row r="47" spans="1:38" ht="15.75" x14ac:dyDescent="0.25">
      <c r="A47" s="1">
        <v>36</v>
      </c>
      <c r="B47" s="1" t="s">
        <v>19</v>
      </c>
      <c r="C47" s="1" t="s">
        <v>26</v>
      </c>
      <c r="D47" s="1" t="s">
        <v>16</v>
      </c>
      <c r="E47" s="1">
        <v>3</v>
      </c>
      <c r="G47">
        <v>42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</row>
    <row r="48" spans="1:38" ht="15.75" x14ac:dyDescent="0.25">
      <c r="A48" s="1">
        <v>37</v>
      </c>
      <c r="B48" s="1" t="s">
        <v>28</v>
      </c>
      <c r="C48" s="1" t="s">
        <v>10</v>
      </c>
      <c r="D48" s="1" t="s">
        <v>30</v>
      </c>
      <c r="E48" s="1">
        <v>4</v>
      </c>
      <c r="G48">
        <v>43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4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</row>
    <row r="49" spans="1:38" ht="15.75" x14ac:dyDescent="0.25">
      <c r="A49" s="1">
        <v>38</v>
      </c>
      <c r="B49" s="1" t="s">
        <v>7</v>
      </c>
      <c r="C49" s="1" t="s">
        <v>10</v>
      </c>
      <c r="D49" s="1" t="s">
        <v>37</v>
      </c>
      <c r="E49" s="1">
        <v>4</v>
      </c>
      <c r="G49">
        <v>44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5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</row>
    <row r="50" spans="1:38" ht="15.75" x14ac:dyDescent="0.25">
      <c r="A50" s="1">
        <v>39</v>
      </c>
      <c r="B50" s="1" t="s">
        <v>7</v>
      </c>
      <c r="C50" s="1" t="s">
        <v>8</v>
      </c>
      <c r="D50" s="1" t="s">
        <v>18</v>
      </c>
      <c r="E50" s="1">
        <v>8</v>
      </c>
      <c r="G50">
        <v>45</v>
      </c>
      <c r="H50">
        <v>0</v>
      </c>
      <c r="I50">
        <v>0</v>
      </c>
      <c r="J50">
        <v>1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</row>
    <row r="51" spans="1:38" ht="15.75" x14ac:dyDescent="0.25">
      <c r="A51" s="1">
        <v>40</v>
      </c>
      <c r="B51" s="1" t="s">
        <v>7</v>
      </c>
      <c r="C51" s="1" t="s">
        <v>8</v>
      </c>
      <c r="D51" s="1" t="s">
        <v>18</v>
      </c>
      <c r="E51" s="1">
        <v>5</v>
      </c>
      <c r="G51">
        <v>46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9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</row>
    <row r="52" spans="1:38" ht="15.75" x14ac:dyDescent="0.25">
      <c r="A52" s="1">
        <v>41</v>
      </c>
      <c r="B52" s="1">
        <v>0</v>
      </c>
      <c r="C52" s="1"/>
      <c r="D52" s="1"/>
      <c r="E52" s="1">
        <v>0</v>
      </c>
      <c r="G52">
        <v>47</v>
      </c>
      <c r="H52">
        <v>0</v>
      </c>
      <c r="I52">
        <v>0</v>
      </c>
      <c r="J52">
        <v>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</row>
    <row r="53" spans="1:38" ht="15.75" x14ac:dyDescent="0.25">
      <c r="A53" s="1">
        <v>42</v>
      </c>
      <c r="B53" s="1">
        <v>0</v>
      </c>
      <c r="C53" s="1"/>
      <c r="D53" s="1"/>
      <c r="E53" s="1">
        <v>0</v>
      </c>
      <c r="G53">
        <v>48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 s="107">
        <v>5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</row>
    <row r="54" spans="1:38" ht="15.75" x14ac:dyDescent="0.25">
      <c r="A54" s="1">
        <v>43</v>
      </c>
      <c r="B54" s="1" t="s">
        <v>7</v>
      </c>
      <c r="C54" s="1" t="s">
        <v>10</v>
      </c>
      <c r="D54" s="1" t="s">
        <v>37</v>
      </c>
      <c r="E54" s="1">
        <v>4</v>
      </c>
      <c r="G54">
        <v>49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2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</row>
    <row r="55" spans="1:38" ht="15.75" x14ac:dyDescent="0.25">
      <c r="A55" s="1">
        <v>44</v>
      </c>
      <c r="B55" s="1" t="s">
        <v>7</v>
      </c>
      <c r="C55" s="1" t="s">
        <v>8</v>
      </c>
      <c r="D55" s="1" t="s">
        <v>18</v>
      </c>
      <c r="E55" s="1">
        <v>5</v>
      </c>
      <c r="G55">
        <v>50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</row>
    <row r="56" spans="1:38" ht="15.75" x14ac:dyDescent="0.25">
      <c r="A56" s="1">
        <v>45</v>
      </c>
      <c r="B56" s="1" t="s">
        <v>63</v>
      </c>
      <c r="C56" s="1" t="s">
        <v>21</v>
      </c>
      <c r="D56" s="1" t="s">
        <v>64</v>
      </c>
      <c r="E56" s="1">
        <v>1</v>
      </c>
      <c r="G56">
        <v>51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</row>
    <row r="57" spans="1:38" ht="15.75" x14ac:dyDescent="0.25">
      <c r="A57" s="1">
        <v>46</v>
      </c>
      <c r="B57" s="1" t="s">
        <v>7</v>
      </c>
      <c r="C57" s="1" t="s">
        <v>36</v>
      </c>
      <c r="D57" s="1" t="s">
        <v>67</v>
      </c>
      <c r="E57" s="1">
        <v>1</v>
      </c>
      <c r="G57">
        <v>52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</row>
    <row r="58" spans="1:38" ht="15.75" x14ac:dyDescent="0.25">
      <c r="A58" s="1"/>
      <c r="B58" s="1" t="s">
        <v>7</v>
      </c>
      <c r="C58" s="1" t="s">
        <v>10</v>
      </c>
      <c r="D58" s="1" t="s">
        <v>18</v>
      </c>
      <c r="E58" s="1">
        <v>9</v>
      </c>
      <c r="G58">
        <v>53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4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</row>
    <row r="59" spans="1:38" ht="15.75" x14ac:dyDescent="0.25">
      <c r="A59" s="1">
        <v>47</v>
      </c>
      <c r="B59" s="1" t="s">
        <v>63</v>
      </c>
      <c r="C59" s="1" t="s">
        <v>21</v>
      </c>
      <c r="D59" s="1" t="s">
        <v>64</v>
      </c>
      <c r="E59" s="1">
        <v>3</v>
      </c>
      <c r="G59">
        <v>54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2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1</v>
      </c>
      <c r="AI59">
        <v>0</v>
      </c>
      <c r="AJ59">
        <v>0</v>
      </c>
      <c r="AK59">
        <v>0</v>
      </c>
      <c r="AL59">
        <v>0</v>
      </c>
    </row>
    <row r="60" spans="1:38" ht="15.75" x14ac:dyDescent="0.25">
      <c r="A60" s="1">
        <v>48</v>
      </c>
      <c r="B60" s="1" t="s">
        <v>7</v>
      </c>
      <c r="C60" s="1" t="s">
        <v>38</v>
      </c>
      <c r="D60" s="1" t="s">
        <v>13</v>
      </c>
      <c r="E60" s="1">
        <v>5</v>
      </c>
      <c r="G60">
        <v>55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2</v>
      </c>
      <c r="Q60">
        <v>0</v>
      </c>
      <c r="R60">
        <v>6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</row>
    <row r="61" spans="1:38" ht="15.75" x14ac:dyDescent="0.25">
      <c r="A61" s="1">
        <v>49</v>
      </c>
      <c r="B61" s="1" t="s">
        <v>7</v>
      </c>
      <c r="C61" s="1" t="s">
        <v>10</v>
      </c>
      <c r="D61" s="1" t="s">
        <v>18</v>
      </c>
      <c r="E61" s="1">
        <v>2</v>
      </c>
      <c r="G61">
        <v>56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2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</row>
    <row r="62" spans="1:38" ht="15.75" x14ac:dyDescent="0.25">
      <c r="A62" s="1">
        <v>50</v>
      </c>
      <c r="B62" s="1">
        <v>0</v>
      </c>
      <c r="C62" s="1"/>
      <c r="D62" s="1"/>
      <c r="E62" s="1">
        <v>0</v>
      </c>
      <c r="G62">
        <v>57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</row>
    <row r="63" spans="1:38" ht="15.75" x14ac:dyDescent="0.25">
      <c r="A63" s="1">
        <v>51</v>
      </c>
      <c r="B63" s="1">
        <v>0</v>
      </c>
      <c r="C63" s="1"/>
      <c r="D63" s="1"/>
      <c r="E63" s="1">
        <v>0</v>
      </c>
      <c r="G63">
        <v>58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</row>
    <row r="64" spans="1:38" ht="15.75" x14ac:dyDescent="0.25">
      <c r="A64" s="1">
        <v>52</v>
      </c>
      <c r="B64" s="1">
        <v>0</v>
      </c>
      <c r="C64" s="1"/>
      <c r="D64" s="1"/>
      <c r="E64" s="1">
        <v>0</v>
      </c>
      <c r="G64">
        <v>59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2</v>
      </c>
      <c r="AE64">
        <v>1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</row>
    <row r="65" spans="1:38" ht="15.75" x14ac:dyDescent="0.25">
      <c r="A65" s="1">
        <v>53</v>
      </c>
      <c r="B65" s="1" t="s">
        <v>7</v>
      </c>
      <c r="C65" s="1" t="s">
        <v>8</v>
      </c>
      <c r="D65" s="1" t="s">
        <v>18</v>
      </c>
      <c r="E65" s="1">
        <v>4</v>
      </c>
      <c r="G65">
        <v>60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</row>
    <row r="66" spans="1:38" ht="15.75" x14ac:dyDescent="0.25">
      <c r="A66" s="1">
        <v>54</v>
      </c>
      <c r="B66" s="1" t="s">
        <v>7</v>
      </c>
      <c r="C66" s="1" t="s">
        <v>8</v>
      </c>
      <c r="D66" s="1" t="s">
        <v>18</v>
      </c>
      <c r="E66" s="1">
        <v>2</v>
      </c>
      <c r="G66">
        <v>61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4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</row>
    <row r="67" spans="1:38" ht="15.75" x14ac:dyDescent="0.25">
      <c r="A67" s="1"/>
      <c r="B67" s="1" t="s">
        <v>22</v>
      </c>
      <c r="C67" s="1" t="s">
        <v>25</v>
      </c>
      <c r="D67" s="1" t="s">
        <v>69</v>
      </c>
      <c r="E67" s="1">
        <v>1</v>
      </c>
      <c r="G67">
        <v>62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</row>
    <row r="68" spans="1:38" ht="15.75" x14ac:dyDescent="0.25">
      <c r="A68" s="1">
        <v>55</v>
      </c>
      <c r="B68" s="1" t="s">
        <v>7</v>
      </c>
      <c r="C68" s="1" t="s">
        <v>8</v>
      </c>
      <c r="D68" s="1" t="s">
        <v>18</v>
      </c>
      <c r="E68" s="1">
        <v>6</v>
      </c>
      <c r="G68">
        <v>63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2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2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</row>
    <row r="69" spans="1:38" ht="15.75" x14ac:dyDescent="0.25">
      <c r="A69" s="1"/>
      <c r="B69" s="1"/>
      <c r="C69" s="1" t="s">
        <v>8</v>
      </c>
      <c r="D69" s="1" t="s">
        <v>37</v>
      </c>
      <c r="E69" s="1">
        <v>2</v>
      </c>
      <c r="G69">
        <v>64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3</v>
      </c>
      <c r="AK69">
        <v>0</v>
      </c>
      <c r="AL69">
        <v>0</v>
      </c>
    </row>
    <row r="70" spans="1:38" ht="15.75" x14ac:dyDescent="0.25">
      <c r="A70" s="1">
        <v>56</v>
      </c>
      <c r="B70" s="1" t="s">
        <v>7</v>
      </c>
      <c r="C70" s="1" t="s">
        <v>10</v>
      </c>
      <c r="D70" s="1" t="s">
        <v>18</v>
      </c>
      <c r="E70" s="1">
        <v>2</v>
      </c>
      <c r="G70">
        <v>65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2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</row>
    <row r="71" spans="1:38" ht="15.75" x14ac:dyDescent="0.25">
      <c r="A71" s="1">
        <v>57</v>
      </c>
      <c r="B71" s="1">
        <v>0</v>
      </c>
      <c r="C71" s="1"/>
      <c r="D71" s="1"/>
      <c r="E71" s="1">
        <v>0</v>
      </c>
      <c r="G71">
        <v>66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1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</row>
    <row r="72" spans="1:38" ht="15.75" x14ac:dyDescent="0.25">
      <c r="A72" s="1">
        <v>58</v>
      </c>
      <c r="B72" s="1">
        <v>0</v>
      </c>
      <c r="C72" s="1"/>
      <c r="D72" s="1"/>
      <c r="E72" s="1">
        <v>0</v>
      </c>
      <c r="G72">
        <v>67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0</v>
      </c>
      <c r="AK72">
        <v>0</v>
      </c>
      <c r="AL72">
        <v>0</v>
      </c>
    </row>
    <row r="73" spans="1:38" ht="15.75" x14ac:dyDescent="0.25">
      <c r="A73" s="1">
        <v>59</v>
      </c>
      <c r="B73" s="1" t="s">
        <v>22</v>
      </c>
      <c r="C73" s="1" t="s">
        <v>35</v>
      </c>
      <c r="D73" s="1" t="s">
        <v>67</v>
      </c>
      <c r="E73" s="1">
        <v>1</v>
      </c>
      <c r="G73">
        <v>68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3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</row>
    <row r="74" spans="1:38" ht="15.75" x14ac:dyDescent="0.25">
      <c r="A74" s="1"/>
      <c r="B74" s="1" t="s">
        <v>7</v>
      </c>
      <c r="C74" s="1" t="s">
        <v>36</v>
      </c>
      <c r="D74" s="1" t="s">
        <v>67</v>
      </c>
      <c r="E74" s="1">
        <v>2</v>
      </c>
      <c r="G74">
        <v>69</v>
      </c>
      <c r="H74">
        <v>0</v>
      </c>
      <c r="I74">
        <v>0</v>
      </c>
      <c r="J74">
        <v>2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</row>
    <row r="75" spans="1:38" ht="15.75" x14ac:dyDescent="0.25">
      <c r="A75" s="1">
        <v>60</v>
      </c>
      <c r="B75" s="1">
        <v>0</v>
      </c>
      <c r="C75" s="1"/>
      <c r="D75" s="1"/>
      <c r="E75" s="1">
        <v>0</v>
      </c>
      <c r="G75">
        <v>70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1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</row>
    <row r="76" spans="1:38" ht="15.75" x14ac:dyDescent="0.25">
      <c r="A76" s="1">
        <v>61</v>
      </c>
      <c r="B76" s="1" t="s">
        <v>7</v>
      </c>
      <c r="C76" s="1" t="s">
        <v>12</v>
      </c>
      <c r="D76" s="1" t="s">
        <v>13</v>
      </c>
      <c r="E76" s="1">
        <v>4</v>
      </c>
      <c r="G76">
        <v>71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3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</row>
    <row r="77" spans="1:38" ht="15.75" x14ac:dyDescent="0.25">
      <c r="A77" s="1">
        <v>62</v>
      </c>
      <c r="B77" s="1">
        <v>0</v>
      </c>
      <c r="C77" s="1"/>
      <c r="D77" s="1"/>
      <c r="E77" s="1">
        <v>0</v>
      </c>
      <c r="G77">
        <v>72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2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</row>
    <row r="78" spans="1:38" ht="15.75" x14ac:dyDescent="0.25">
      <c r="A78" s="1">
        <v>63</v>
      </c>
      <c r="B78" s="1" t="s">
        <v>7</v>
      </c>
      <c r="C78" s="1" t="s">
        <v>12</v>
      </c>
      <c r="D78" s="1" t="s">
        <v>13</v>
      </c>
      <c r="E78" s="1">
        <v>2</v>
      </c>
      <c r="G78">
        <v>73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</row>
    <row r="79" spans="1:38" ht="15.75" x14ac:dyDescent="0.25">
      <c r="A79" s="1"/>
      <c r="B79" s="1" t="s">
        <v>7</v>
      </c>
      <c r="C79" s="1" t="s">
        <v>8</v>
      </c>
      <c r="D79" s="1" t="s">
        <v>18</v>
      </c>
      <c r="E79" s="1">
        <v>2</v>
      </c>
      <c r="G79">
        <v>74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</row>
    <row r="80" spans="1:38" ht="15.75" x14ac:dyDescent="0.25">
      <c r="A80" s="1">
        <v>64</v>
      </c>
      <c r="B80" s="1" t="s">
        <v>19</v>
      </c>
      <c r="C80" s="1" t="s">
        <v>62</v>
      </c>
      <c r="D80" s="1" t="s">
        <v>67</v>
      </c>
      <c r="E80" s="1">
        <v>3</v>
      </c>
      <c r="G80">
        <v>75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</row>
    <row r="81" spans="1:39" ht="15.75" x14ac:dyDescent="0.25">
      <c r="A81" s="1">
        <v>65</v>
      </c>
      <c r="B81" s="1" t="s">
        <v>39</v>
      </c>
      <c r="C81" s="1" t="s">
        <v>8</v>
      </c>
      <c r="D81" s="1" t="s">
        <v>18</v>
      </c>
      <c r="E81" s="1">
        <v>2</v>
      </c>
      <c r="G81">
        <v>76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</row>
    <row r="82" spans="1:39" ht="15.75" x14ac:dyDescent="0.25">
      <c r="A82" s="1">
        <v>66</v>
      </c>
      <c r="B82" s="1" t="s">
        <v>7</v>
      </c>
      <c r="C82" s="1" t="s">
        <v>8</v>
      </c>
      <c r="D82" s="1" t="s">
        <v>18</v>
      </c>
      <c r="E82" s="1">
        <v>1</v>
      </c>
      <c r="G82">
        <v>77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</row>
    <row r="83" spans="1:39" ht="15.75" x14ac:dyDescent="0.25">
      <c r="A83" s="1">
        <v>67</v>
      </c>
      <c r="B83" s="1" t="s">
        <v>22</v>
      </c>
      <c r="C83" s="1" t="s">
        <v>25</v>
      </c>
      <c r="D83" s="1" t="s">
        <v>67</v>
      </c>
      <c r="E83" s="1">
        <v>1</v>
      </c>
      <c r="G83">
        <v>78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2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</row>
    <row r="84" spans="1:39" ht="15.75" x14ac:dyDescent="0.25">
      <c r="A84" s="1">
        <v>68</v>
      </c>
      <c r="B84" s="1" t="s">
        <v>7</v>
      </c>
      <c r="C84" s="1" t="s">
        <v>10</v>
      </c>
      <c r="D84" s="1" t="s">
        <v>18</v>
      </c>
      <c r="E84" s="1">
        <v>3</v>
      </c>
      <c r="G84">
        <v>79</v>
      </c>
      <c r="H84">
        <v>1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</row>
    <row r="85" spans="1:39" ht="15.75" x14ac:dyDescent="0.25">
      <c r="A85" s="1">
        <v>69</v>
      </c>
      <c r="B85" s="1" t="s">
        <v>19</v>
      </c>
      <c r="C85" s="1" t="s">
        <v>21</v>
      </c>
      <c r="D85" s="1" t="s">
        <v>64</v>
      </c>
      <c r="E85" s="1">
        <v>2</v>
      </c>
      <c r="G85">
        <v>80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3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</row>
    <row r="86" spans="1:39" ht="15.75" x14ac:dyDescent="0.25">
      <c r="A86" s="1">
        <v>70</v>
      </c>
      <c r="B86" s="1" t="s">
        <v>7</v>
      </c>
      <c r="C86" s="1" t="s">
        <v>8</v>
      </c>
      <c r="D86" s="1" t="s">
        <v>18</v>
      </c>
      <c r="E86" s="1">
        <v>1</v>
      </c>
      <c r="H86">
        <f>SUM(H6:H85)</f>
        <v>1</v>
      </c>
      <c r="I86">
        <f t="shared" ref="I86:AL86" si="0">SUM(I6:I85)</f>
        <v>1</v>
      </c>
      <c r="J86">
        <f t="shared" si="0"/>
        <v>6</v>
      </c>
      <c r="K86">
        <f t="shared" si="0"/>
        <v>0</v>
      </c>
      <c r="L86">
        <f t="shared" si="0"/>
        <v>4</v>
      </c>
      <c r="M86">
        <f t="shared" si="0"/>
        <v>0</v>
      </c>
      <c r="N86">
        <f t="shared" si="0"/>
        <v>7</v>
      </c>
      <c r="O86">
        <f t="shared" si="0"/>
        <v>0</v>
      </c>
      <c r="P86">
        <f t="shared" si="0"/>
        <v>10</v>
      </c>
      <c r="Q86">
        <f t="shared" si="0"/>
        <v>1</v>
      </c>
      <c r="R86">
        <f t="shared" si="0"/>
        <v>43</v>
      </c>
      <c r="S86">
        <f t="shared" si="0"/>
        <v>17</v>
      </c>
      <c r="T86">
        <f t="shared" si="0"/>
        <v>34</v>
      </c>
      <c r="U86">
        <f t="shared" si="0"/>
        <v>1</v>
      </c>
      <c r="V86">
        <f t="shared" si="0"/>
        <v>0</v>
      </c>
      <c r="W86">
        <f t="shared" si="0"/>
        <v>0</v>
      </c>
      <c r="X86">
        <f t="shared" si="0"/>
        <v>0</v>
      </c>
      <c r="Y86">
        <f t="shared" si="0"/>
        <v>0</v>
      </c>
      <c r="Z86">
        <f t="shared" si="0"/>
        <v>0</v>
      </c>
      <c r="AA86">
        <f t="shared" si="0"/>
        <v>0</v>
      </c>
      <c r="AB86">
        <f t="shared" si="0"/>
        <v>0</v>
      </c>
      <c r="AC86">
        <f t="shared" si="0"/>
        <v>26</v>
      </c>
      <c r="AD86">
        <f t="shared" si="0"/>
        <v>4</v>
      </c>
      <c r="AE86">
        <f t="shared" si="0"/>
        <v>2</v>
      </c>
      <c r="AF86">
        <f t="shared" si="0"/>
        <v>0</v>
      </c>
      <c r="AG86">
        <f t="shared" si="0"/>
        <v>0</v>
      </c>
      <c r="AH86">
        <f t="shared" si="0"/>
        <v>1</v>
      </c>
      <c r="AI86">
        <f t="shared" si="0"/>
        <v>1</v>
      </c>
      <c r="AJ86">
        <f t="shared" si="0"/>
        <v>3</v>
      </c>
      <c r="AK86">
        <f t="shared" si="0"/>
        <v>7</v>
      </c>
      <c r="AL86">
        <f t="shared" si="0"/>
        <v>41</v>
      </c>
      <c r="AM86">
        <f>SUM(H86:AL86)</f>
        <v>210</v>
      </c>
    </row>
    <row r="87" spans="1:39" ht="15.75" x14ac:dyDescent="0.25">
      <c r="A87" s="1">
        <v>71</v>
      </c>
      <c r="B87" s="1" t="s">
        <v>7</v>
      </c>
      <c r="C87" s="1" t="s">
        <v>12</v>
      </c>
      <c r="D87" s="1" t="s">
        <v>13</v>
      </c>
      <c r="E87" s="1">
        <v>3</v>
      </c>
    </row>
    <row r="88" spans="1:39" ht="15.75" x14ac:dyDescent="0.25">
      <c r="A88" s="1">
        <v>72</v>
      </c>
      <c r="B88" s="1" t="s">
        <v>7</v>
      </c>
      <c r="C88" s="1" t="s">
        <v>12</v>
      </c>
      <c r="D88" s="1" t="s">
        <v>13</v>
      </c>
      <c r="E88" s="1">
        <v>2</v>
      </c>
    </row>
    <row r="89" spans="1:39" ht="15.75" x14ac:dyDescent="0.25">
      <c r="A89" s="1">
        <v>73</v>
      </c>
      <c r="B89" s="1">
        <v>0</v>
      </c>
      <c r="C89" s="1"/>
      <c r="D89" s="1"/>
      <c r="E89" s="1">
        <v>0</v>
      </c>
    </row>
    <row r="90" spans="1:39" ht="15.75" x14ac:dyDescent="0.25">
      <c r="A90" s="1">
        <v>74</v>
      </c>
      <c r="B90" s="1">
        <v>0</v>
      </c>
      <c r="C90" s="1"/>
      <c r="D90" s="1"/>
      <c r="E90" s="1">
        <v>0</v>
      </c>
    </row>
    <row r="91" spans="1:39" ht="15.75" x14ac:dyDescent="0.25">
      <c r="A91" s="1">
        <v>75</v>
      </c>
      <c r="B91" s="1">
        <v>0</v>
      </c>
      <c r="C91" s="1"/>
      <c r="D91" s="1"/>
      <c r="E91" s="1">
        <v>0</v>
      </c>
    </row>
    <row r="92" spans="1:39" ht="15.75" x14ac:dyDescent="0.25">
      <c r="A92" s="1">
        <v>76</v>
      </c>
      <c r="B92" s="1">
        <v>0</v>
      </c>
      <c r="C92" s="1"/>
      <c r="D92" s="1"/>
      <c r="E92" s="1">
        <v>0</v>
      </c>
    </row>
    <row r="93" spans="1:39" ht="15.75" x14ac:dyDescent="0.25">
      <c r="A93" s="1">
        <v>77</v>
      </c>
      <c r="B93" s="1">
        <v>0</v>
      </c>
      <c r="C93" s="1"/>
      <c r="D93" s="1"/>
      <c r="E93" s="1">
        <v>0</v>
      </c>
    </row>
    <row r="94" spans="1:39" ht="15.75" x14ac:dyDescent="0.25">
      <c r="A94" s="1">
        <v>78</v>
      </c>
      <c r="B94" s="1" t="s">
        <v>7</v>
      </c>
      <c r="C94" s="1" t="s">
        <v>38</v>
      </c>
      <c r="D94" s="1" t="s">
        <v>13</v>
      </c>
      <c r="E94" s="1">
        <v>2</v>
      </c>
    </row>
    <row r="95" spans="1:39" ht="15.75" x14ac:dyDescent="0.25">
      <c r="A95" s="1">
        <v>79</v>
      </c>
      <c r="B95" s="1" t="s">
        <v>22</v>
      </c>
      <c r="C95" s="1" t="s">
        <v>21</v>
      </c>
      <c r="D95" s="1" t="s">
        <v>9</v>
      </c>
      <c r="E95" s="1">
        <v>1</v>
      </c>
    </row>
    <row r="96" spans="1:39" ht="15.75" x14ac:dyDescent="0.25">
      <c r="A96" s="1">
        <v>80</v>
      </c>
      <c r="B96" s="1" t="s">
        <v>7</v>
      </c>
      <c r="C96" s="1" t="s">
        <v>12</v>
      </c>
      <c r="D96" s="1" t="s">
        <v>13</v>
      </c>
      <c r="E96" s="1">
        <v>3</v>
      </c>
    </row>
    <row r="97" spans="5:23" x14ac:dyDescent="0.25">
      <c r="E97">
        <f>SUM(E6:E96)</f>
        <v>210</v>
      </c>
    </row>
    <row r="99" spans="5:23" ht="15.75" x14ac:dyDescent="0.25">
      <c r="F99" s="10"/>
      <c r="G99" s="87" t="s">
        <v>98</v>
      </c>
      <c r="H99" s="11" t="s">
        <v>6</v>
      </c>
      <c r="I99" s="11" t="s">
        <v>88</v>
      </c>
      <c r="J99" s="11" t="s">
        <v>3</v>
      </c>
      <c r="K99" s="11" t="s">
        <v>65</v>
      </c>
      <c r="L99" s="11" t="s">
        <v>66</v>
      </c>
      <c r="N99" s="65" t="s">
        <v>98</v>
      </c>
      <c r="O99" s="22" t="s">
        <v>6</v>
      </c>
      <c r="P99" s="22" t="s">
        <v>88</v>
      </c>
      <c r="Q99" s="22" t="s">
        <v>3</v>
      </c>
      <c r="R99" s="22" t="s">
        <v>65</v>
      </c>
      <c r="S99" s="22" t="s">
        <v>66</v>
      </c>
      <c r="T99" s="23" t="s">
        <v>79</v>
      </c>
      <c r="U99" s="23" t="s">
        <v>81</v>
      </c>
      <c r="V99" s="23" t="s">
        <v>80</v>
      </c>
      <c r="W99" s="23" t="s">
        <v>100</v>
      </c>
    </row>
    <row r="100" spans="5:23" ht="15.75" x14ac:dyDescent="0.25">
      <c r="G100" s="3">
        <v>1</v>
      </c>
      <c r="H100" s="14" t="s">
        <v>22</v>
      </c>
      <c r="I100" s="14" t="s">
        <v>89</v>
      </c>
      <c r="J100" s="14" t="s">
        <v>21</v>
      </c>
      <c r="K100" s="14" t="s">
        <v>9</v>
      </c>
      <c r="L100" s="6">
        <f>SUM(E95)</f>
        <v>1</v>
      </c>
      <c r="N100" s="84">
        <v>1</v>
      </c>
      <c r="O100" s="8" t="s">
        <v>22</v>
      </c>
      <c r="P100" s="21" t="s">
        <v>89</v>
      </c>
      <c r="Q100" s="21" t="s">
        <v>21</v>
      </c>
      <c r="R100" s="21" t="s">
        <v>9</v>
      </c>
      <c r="S100" s="8">
        <v>1</v>
      </c>
      <c r="T100" s="19">
        <f>S100/210</f>
        <v>4.7619047619047623E-3</v>
      </c>
      <c r="U100" s="20">
        <f>LN(T100)</f>
        <v>-5.3471075307174685</v>
      </c>
      <c r="V100" s="19">
        <f>T100*U100</f>
        <v>-2.5462416812940328E-2</v>
      </c>
      <c r="W100" s="35">
        <f>T100^2</f>
        <v>2.2675736961451251E-5</v>
      </c>
    </row>
    <row r="101" spans="5:23" ht="15.75" x14ac:dyDescent="0.25">
      <c r="G101" s="3">
        <v>2</v>
      </c>
      <c r="H101" s="6"/>
      <c r="I101" s="14" t="s">
        <v>89</v>
      </c>
      <c r="J101" s="1" t="s">
        <v>21</v>
      </c>
      <c r="K101" s="1" t="s">
        <v>16</v>
      </c>
      <c r="L101" s="6">
        <f>SUM(E39)</f>
        <v>1</v>
      </c>
      <c r="N101" s="84">
        <v>2</v>
      </c>
      <c r="O101" s="8" t="s">
        <v>22</v>
      </c>
      <c r="P101" s="21" t="s">
        <v>89</v>
      </c>
      <c r="Q101" s="8" t="s">
        <v>21</v>
      </c>
      <c r="R101" s="8" t="s">
        <v>16</v>
      </c>
      <c r="S101" s="8">
        <v>1</v>
      </c>
      <c r="T101" s="19">
        <f t="shared" ref="T101:T118" si="1">S101/210</f>
        <v>4.7619047619047623E-3</v>
      </c>
      <c r="U101" s="20">
        <f t="shared" ref="U101:U117" si="2">LN(T101)</f>
        <v>-5.3471075307174685</v>
      </c>
      <c r="V101" s="19">
        <f t="shared" ref="V101:V118" si="3">T101*U101</f>
        <v>-2.5462416812940328E-2</v>
      </c>
      <c r="W101" s="35">
        <f t="shared" ref="W101:W118" si="4">T101^2</f>
        <v>2.2675736961451251E-5</v>
      </c>
    </row>
    <row r="102" spans="5:23" ht="15.75" x14ac:dyDescent="0.25">
      <c r="G102" s="3">
        <v>3</v>
      </c>
      <c r="H102" s="6" t="s">
        <v>28</v>
      </c>
      <c r="I102" s="6" t="s">
        <v>96</v>
      </c>
      <c r="J102" s="1" t="s">
        <v>35</v>
      </c>
      <c r="K102" s="6" t="s">
        <v>67</v>
      </c>
      <c r="L102" s="6">
        <f>SUM(E15,E73)</f>
        <v>2</v>
      </c>
      <c r="N102" s="84">
        <v>3</v>
      </c>
      <c r="O102" s="8" t="s">
        <v>19</v>
      </c>
      <c r="P102" s="21" t="s">
        <v>89</v>
      </c>
      <c r="Q102" s="21" t="s">
        <v>21</v>
      </c>
      <c r="R102" s="8" t="s">
        <v>64</v>
      </c>
      <c r="S102" s="8">
        <v>6</v>
      </c>
      <c r="T102" s="19">
        <f t="shared" si="1"/>
        <v>2.8571428571428571E-2</v>
      </c>
      <c r="U102" s="20">
        <f t="shared" si="2"/>
        <v>-3.5553480614894135</v>
      </c>
      <c r="V102" s="19">
        <f t="shared" si="3"/>
        <v>-0.10158137318541181</v>
      </c>
      <c r="W102" s="35">
        <f t="shared" si="4"/>
        <v>8.1632653061224482E-4</v>
      </c>
    </row>
    <row r="103" spans="5:23" ht="15.75" x14ac:dyDescent="0.25">
      <c r="G103" s="3">
        <v>4</v>
      </c>
      <c r="H103" s="6"/>
      <c r="I103" s="1" t="s">
        <v>95</v>
      </c>
      <c r="J103" s="6" t="s">
        <v>25</v>
      </c>
      <c r="K103" s="1" t="s">
        <v>69</v>
      </c>
      <c r="L103" s="6">
        <v>1</v>
      </c>
      <c r="N103" s="84">
        <v>4</v>
      </c>
      <c r="O103" s="8" t="s">
        <v>28</v>
      </c>
      <c r="P103" s="8" t="s">
        <v>89</v>
      </c>
      <c r="Q103" s="8" t="s">
        <v>26</v>
      </c>
      <c r="R103" s="8" t="s">
        <v>16</v>
      </c>
      <c r="S103" s="8">
        <v>4</v>
      </c>
      <c r="T103" s="19">
        <f t="shared" si="1"/>
        <v>1.9047619047619049E-2</v>
      </c>
      <c r="U103" s="20">
        <f t="shared" si="2"/>
        <v>-3.9608131695975781</v>
      </c>
      <c r="V103" s="19">
        <f t="shared" si="3"/>
        <v>-7.5444060373287214E-2</v>
      </c>
      <c r="W103" s="35">
        <f t="shared" si="4"/>
        <v>3.6281179138322002E-4</v>
      </c>
    </row>
    <row r="104" spans="5:23" ht="15.75" x14ac:dyDescent="0.25">
      <c r="G104" s="3">
        <v>5</v>
      </c>
      <c r="H104" s="3"/>
      <c r="I104" s="1" t="s">
        <v>95</v>
      </c>
      <c r="J104" s="1" t="s">
        <v>25</v>
      </c>
      <c r="K104" s="1" t="s">
        <v>67</v>
      </c>
      <c r="L104" s="1">
        <v>1</v>
      </c>
      <c r="N104" s="84">
        <v>5</v>
      </c>
      <c r="O104" s="8" t="s">
        <v>28</v>
      </c>
      <c r="P104" s="8" t="s">
        <v>96</v>
      </c>
      <c r="Q104" s="8" t="s">
        <v>35</v>
      </c>
      <c r="R104" s="8" t="s">
        <v>67</v>
      </c>
      <c r="S104" s="8">
        <v>2</v>
      </c>
      <c r="T104" s="19">
        <f t="shared" si="1"/>
        <v>9.5238095238095247E-3</v>
      </c>
      <c r="U104" s="20">
        <f t="shared" si="2"/>
        <v>-4.6539603501575231</v>
      </c>
      <c r="V104" s="19">
        <f t="shared" si="3"/>
        <v>-4.4323431906262131E-2</v>
      </c>
      <c r="W104" s="35">
        <f t="shared" si="4"/>
        <v>9.0702947845805004E-5</v>
      </c>
    </row>
    <row r="105" spans="5:23" ht="15.75" x14ac:dyDescent="0.25">
      <c r="G105" s="3">
        <v>6</v>
      </c>
      <c r="H105" s="6"/>
      <c r="I105" s="6" t="s">
        <v>93</v>
      </c>
      <c r="J105" s="6" t="s">
        <v>11</v>
      </c>
      <c r="K105" s="6" t="s">
        <v>60</v>
      </c>
      <c r="L105" s="6">
        <f>SUM(E16)</f>
        <v>7</v>
      </c>
      <c r="N105" s="84">
        <v>6</v>
      </c>
      <c r="O105" s="8" t="s">
        <v>7</v>
      </c>
      <c r="P105" s="21" t="s">
        <v>91</v>
      </c>
      <c r="Q105" s="8" t="s">
        <v>8</v>
      </c>
      <c r="R105" s="8" t="s">
        <v>37</v>
      </c>
      <c r="S105" s="8">
        <v>10</v>
      </c>
      <c r="T105" s="19">
        <f t="shared" si="1"/>
        <v>4.7619047619047616E-2</v>
      </c>
      <c r="U105" s="20">
        <f t="shared" si="2"/>
        <v>-3.044522437723423</v>
      </c>
      <c r="V105" s="19">
        <f t="shared" si="3"/>
        <v>-0.14497725893921062</v>
      </c>
      <c r="W105" s="35">
        <f t="shared" si="4"/>
        <v>2.2675736961451243E-3</v>
      </c>
    </row>
    <row r="106" spans="5:23" ht="15.75" x14ac:dyDescent="0.25">
      <c r="G106" s="3">
        <v>7</v>
      </c>
      <c r="H106" s="14" t="s">
        <v>7</v>
      </c>
      <c r="I106" s="14" t="s">
        <v>91</v>
      </c>
      <c r="J106" s="1" t="s">
        <v>8</v>
      </c>
      <c r="K106" s="1" t="s">
        <v>37</v>
      </c>
      <c r="L106" s="6">
        <f>SUM(E49,E54,E69)</f>
        <v>10</v>
      </c>
      <c r="N106" s="84">
        <v>7</v>
      </c>
      <c r="O106" s="8" t="s">
        <v>7</v>
      </c>
      <c r="P106" s="21" t="s">
        <v>91</v>
      </c>
      <c r="Q106" s="8" t="s">
        <v>8</v>
      </c>
      <c r="R106" s="8" t="s">
        <v>34</v>
      </c>
      <c r="S106" s="8">
        <v>1</v>
      </c>
      <c r="T106" s="19">
        <f t="shared" si="1"/>
        <v>4.7619047619047623E-3</v>
      </c>
      <c r="U106" s="20">
        <f t="shared" si="2"/>
        <v>-5.3471075307174685</v>
      </c>
      <c r="V106" s="19">
        <f t="shared" si="3"/>
        <v>-2.5462416812940328E-2</v>
      </c>
      <c r="W106" s="35">
        <f t="shared" si="4"/>
        <v>2.2675736961451251E-5</v>
      </c>
    </row>
    <row r="107" spans="5:23" ht="15.75" x14ac:dyDescent="0.25">
      <c r="G107" s="3">
        <v>8</v>
      </c>
      <c r="H107" s="6"/>
      <c r="I107" s="14" t="s">
        <v>91</v>
      </c>
      <c r="J107" s="1" t="s">
        <v>8</v>
      </c>
      <c r="K107" s="1" t="s">
        <v>34</v>
      </c>
      <c r="L107" s="6">
        <f>SUM(E13)</f>
        <v>1</v>
      </c>
      <c r="N107" s="84">
        <v>8</v>
      </c>
      <c r="O107" s="8" t="s">
        <v>7</v>
      </c>
      <c r="P107" s="21" t="s">
        <v>91</v>
      </c>
      <c r="Q107" s="8" t="s">
        <v>8</v>
      </c>
      <c r="R107" s="8" t="s">
        <v>18</v>
      </c>
      <c r="S107" s="8">
        <v>52</v>
      </c>
      <c r="T107" s="19">
        <f t="shared" si="1"/>
        <v>0.24761904761904763</v>
      </c>
      <c r="U107" s="20">
        <f t="shared" si="2"/>
        <v>-1.3958638121360414</v>
      </c>
      <c r="V107" s="19">
        <f t="shared" si="3"/>
        <v>-0.34564246776701979</v>
      </c>
      <c r="W107" s="35">
        <f t="shared" si="4"/>
        <v>6.131519274376418E-2</v>
      </c>
    </row>
    <row r="108" spans="5:23" ht="15.75" x14ac:dyDescent="0.25">
      <c r="G108" s="3">
        <v>9</v>
      </c>
      <c r="H108" s="6"/>
      <c r="I108" s="14" t="s">
        <v>91</v>
      </c>
      <c r="J108" s="1" t="s">
        <v>8</v>
      </c>
      <c r="K108" s="1" t="s">
        <v>18</v>
      </c>
      <c r="L108" s="6">
        <f>SUM(E50,E51,E58,E61,E65,E66,E68,E70,E81,E79,E82,E84,E86,E55)</f>
        <v>52</v>
      </c>
      <c r="N108" s="84">
        <v>9</v>
      </c>
      <c r="O108" s="8" t="s">
        <v>7</v>
      </c>
      <c r="P108" s="21" t="s">
        <v>91</v>
      </c>
      <c r="Q108" s="8" t="s">
        <v>8</v>
      </c>
      <c r="R108" s="21" t="s">
        <v>9</v>
      </c>
      <c r="S108" s="8">
        <v>34</v>
      </c>
      <c r="T108" s="19">
        <f t="shared" si="1"/>
        <v>0.16190476190476191</v>
      </c>
      <c r="U108" s="20">
        <f t="shared" si="2"/>
        <v>-1.8207470061013074</v>
      </c>
      <c r="V108" s="19">
        <f t="shared" si="3"/>
        <v>-0.29478761051164026</v>
      </c>
      <c r="W108" s="35">
        <f t="shared" si="4"/>
        <v>2.6213151927437645E-2</v>
      </c>
    </row>
    <row r="109" spans="5:23" ht="15.75" x14ac:dyDescent="0.25">
      <c r="G109" s="3">
        <v>10</v>
      </c>
      <c r="H109" s="6"/>
      <c r="I109" s="14" t="s">
        <v>91</v>
      </c>
      <c r="J109" s="1" t="s">
        <v>8</v>
      </c>
      <c r="K109" s="14" t="s">
        <v>9</v>
      </c>
      <c r="L109" s="6">
        <f>SUM(E6,E9,E10,E14,E26,E31,E40,E43)</f>
        <v>34</v>
      </c>
      <c r="N109" s="84">
        <v>10</v>
      </c>
      <c r="O109" s="8" t="s">
        <v>7</v>
      </c>
      <c r="P109" s="21" t="s">
        <v>91</v>
      </c>
      <c r="Q109" s="8" t="s">
        <v>8</v>
      </c>
      <c r="R109" s="21" t="s">
        <v>16</v>
      </c>
      <c r="S109" s="8">
        <v>1</v>
      </c>
      <c r="T109" s="19">
        <f t="shared" si="1"/>
        <v>4.7619047619047623E-3</v>
      </c>
      <c r="U109" s="20">
        <f t="shared" si="2"/>
        <v>-5.3471075307174685</v>
      </c>
      <c r="V109" s="19">
        <f t="shared" si="3"/>
        <v>-2.5462416812940328E-2</v>
      </c>
      <c r="W109" s="35">
        <f t="shared" si="4"/>
        <v>2.2675736961451251E-5</v>
      </c>
    </row>
    <row r="110" spans="5:23" ht="15.75" x14ac:dyDescent="0.25">
      <c r="G110" s="3">
        <v>11</v>
      </c>
      <c r="H110" s="6"/>
      <c r="I110" s="14" t="s">
        <v>91</v>
      </c>
      <c r="J110" s="1" t="s">
        <v>8</v>
      </c>
      <c r="K110" s="14" t="s">
        <v>16</v>
      </c>
      <c r="L110" s="6">
        <f>SUM(E8)</f>
        <v>1</v>
      </c>
      <c r="N110" s="84">
        <v>11</v>
      </c>
      <c r="O110" s="8" t="s">
        <v>7</v>
      </c>
      <c r="P110" s="21" t="s">
        <v>91</v>
      </c>
      <c r="Q110" s="8" t="s">
        <v>12</v>
      </c>
      <c r="R110" s="8" t="s">
        <v>13</v>
      </c>
      <c r="S110" s="8">
        <v>26</v>
      </c>
      <c r="T110" s="19">
        <f t="shared" si="1"/>
        <v>0.12380952380952381</v>
      </c>
      <c r="U110" s="20">
        <f t="shared" si="2"/>
        <v>-2.0890109926959868</v>
      </c>
      <c r="V110" s="19">
        <f t="shared" si="3"/>
        <v>-0.25863945623855078</v>
      </c>
      <c r="W110" s="35">
        <f t="shared" si="4"/>
        <v>1.5328798185941045E-2</v>
      </c>
    </row>
    <row r="111" spans="5:23" ht="15.75" x14ac:dyDescent="0.25">
      <c r="G111" s="3">
        <v>12</v>
      </c>
      <c r="H111" s="6"/>
      <c r="I111" s="14" t="s">
        <v>91</v>
      </c>
      <c r="J111" s="6" t="s">
        <v>12</v>
      </c>
      <c r="K111" s="1" t="s">
        <v>13</v>
      </c>
      <c r="L111" s="6">
        <f>SUM(E12,E21,E60,E76,E78,E87,E88,E94,E96,)</f>
        <v>26</v>
      </c>
      <c r="N111" s="84">
        <v>12</v>
      </c>
      <c r="O111" s="8" t="s">
        <v>7</v>
      </c>
      <c r="P111" s="21" t="s">
        <v>91</v>
      </c>
      <c r="Q111" s="8" t="s">
        <v>36</v>
      </c>
      <c r="R111" s="21" t="s">
        <v>67</v>
      </c>
      <c r="S111" s="8">
        <v>4</v>
      </c>
      <c r="T111" s="19">
        <f t="shared" si="1"/>
        <v>1.9047619047619049E-2</v>
      </c>
      <c r="U111" s="20">
        <f t="shared" si="2"/>
        <v>-3.9608131695975781</v>
      </c>
      <c r="V111" s="19">
        <f t="shared" si="3"/>
        <v>-7.5444060373287214E-2</v>
      </c>
      <c r="W111" s="35">
        <f t="shared" si="4"/>
        <v>3.6281179138322002E-4</v>
      </c>
    </row>
    <row r="112" spans="5:23" ht="15.75" x14ac:dyDescent="0.25">
      <c r="G112" s="3">
        <v>13</v>
      </c>
      <c r="H112" s="6"/>
      <c r="I112" s="14" t="s">
        <v>91</v>
      </c>
      <c r="J112" s="1" t="s">
        <v>36</v>
      </c>
      <c r="K112" s="14" t="s">
        <v>67</v>
      </c>
      <c r="L112" s="6">
        <f>SUM(E23,E57,E74)</f>
        <v>4</v>
      </c>
      <c r="N112" s="84">
        <v>13</v>
      </c>
      <c r="O112" s="8" t="s">
        <v>28</v>
      </c>
      <c r="P112" s="8" t="s">
        <v>91</v>
      </c>
      <c r="Q112" s="8" t="s">
        <v>8</v>
      </c>
      <c r="R112" s="8" t="s">
        <v>30</v>
      </c>
      <c r="S112" s="8">
        <v>8</v>
      </c>
      <c r="T112" s="19">
        <f t="shared" si="1"/>
        <v>3.8095238095238099E-2</v>
      </c>
      <c r="U112" s="20">
        <f t="shared" si="2"/>
        <v>-3.2676659890376327</v>
      </c>
      <c r="V112" s="19">
        <f t="shared" si="3"/>
        <v>-0.1244825138681003</v>
      </c>
      <c r="W112" s="35">
        <f t="shared" si="4"/>
        <v>1.4512471655328801E-3</v>
      </c>
    </row>
    <row r="113" spans="6:23" ht="15.75" x14ac:dyDescent="0.25">
      <c r="G113" s="3">
        <v>14</v>
      </c>
      <c r="H113" s="6" t="s">
        <v>28</v>
      </c>
      <c r="I113" s="6" t="s">
        <v>89</v>
      </c>
      <c r="J113" s="1" t="s">
        <v>26</v>
      </c>
      <c r="K113" s="1" t="s">
        <v>16</v>
      </c>
      <c r="L113" s="6">
        <f>SUM(E44,E47,)</f>
        <v>4</v>
      </c>
      <c r="N113" s="84">
        <v>14</v>
      </c>
      <c r="O113" s="8" t="s">
        <v>19</v>
      </c>
      <c r="P113" s="8" t="s">
        <v>91</v>
      </c>
      <c r="Q113" s="8" t="s">
        <v>20</v>
      </c>
      <c r="R113" s="21" t="s">
        <v>9</v>
      </c>
      <c r="S113" s="8">
        <v>7</v>
      </c>
      <c r="T113" s="19">
        <f t="shared" si="1"/>
        <v>3.3333333333333333E-2</v>
      </c>
      <c r="U113" s="20">
        <f t="shared" si="2"/>
        <v>-3.4011973816621555</v>
      </c>
      <c r="V113" s="19">
        <f t="shared" si="3"/>
        <v>-0.11337324605540518</v>
      </c>
      <c r="W113" s="35">
        <f t="shared" si="4"/>
        <v>1.1111111111111111E-3</v>
      </c>
    </row>
    <row r="114" spans="6:23" ht="15.75" x14ac:dyDescent="0.25">
      <c r="G114" s="3">
        <v>15</v>
      </c>
      <c r="H114" s="6"/>
      <c r="I114" s="6" t="s">
        <v>91</v>
      </c>
      <c r="J114" s="1" t="s">
        <v>8</v>
      </c>
      <c r="K114" s="1" t="s">
        <v>30</v>
      </c>
      <c r="L114" s="6">
        <f>SUM(E46,E48)</f>
        <v>8</v>
      </c>
      <c r="N114" s="84">
        <v>15</v>
      </c>
      <c r="O114" s="8" t="s">
        <v>22</v>
      </c>
      <c r="P114" s="8" t="s">
        <v>95</v>
      </c>
      <c r="Q114" s="8" t="s">
        <v>25</v>
      </c>
      <c r="R114" s="8" t="s">
        <v>69</v>
      </c>
      <c r="S114" s="8">
        <v>1</v>
      </c>
      <c r="T114" s="19">
        <f t="shared" si="1"/>
        <v>4.7619047619047623E-3</v>
      </c>
      <c r="U114" s="20">
        <f t="shared" si="2"/>
        <v>-5.3471075307174685</v>
      </c>
      <c r="V114" s="19">
        <f t="shared" si="3"/>
        <v>-2.5462416812940328E-2</v>
      </c>
      <c r="W114" s="35">
        <f t="shared" si="4"/>
        <v>2.2675736961451251E-5</v>
      </c>
    </row>
    <row r="115" spans="6:23" ht="15.75" x14ac:dyDescent="0.25">
      <c r="G115" s="3">
        <v>16</v>
      </c>
      <c r="H115" s="14" t="s">
        <v>19</v>
      </c>
      <c r="I115" s="14" t="s">
        <v>89</v>
      </c>
      <c r="J115" s="14" t="s">
        <v>21</v>
      </c>
      <c r="K115" s="1" t="s">
        <v>64</v>
      </c>
      <c r="L115" s="6">
        <f>SUM(E56,E59,E85,)</f>
        <v>6</v>
      </c>
      <c r="N115" s="84">
        <v>16</v>
      </c>
      <c r="O115" s="8" t="s">
        <v>22</v>
      </c>
      <c r="P115" s="8" t="s">
        <v>95</v>
      </c>
      <c r="Q115" s="8" t="s">
        <v>25</v>
      </c>
      <c r="R115" s="8" t="s">
        <v>67</v>
      </c>
      <c r="S115" s="8">
        <v>1</v>
      </c>
      <c r="T115" s="19">
        <f t="shared" si="1"/>
        <v>4.7619047619047623E-3</v>
      </c>
      <c r="U115" s="20">
        <f t="shared" si="2"/>
        <v>-5.3471075307174685</v>
      </c>
      <c r="V115" s="19">
        <f t="shared" si="3"/>
        <v>-2.5462416812940328E-2</v>
      </c>
      <c r="W115" s="35">
        <f t="shared" si="4"/>
        <v>2.2675736961451251E-5</v>
      </c>
    </row>
    <row r="116" spans="6:23" ht="15.75" x14ac:dyDescent="0.25">
      <c r="G116" s="3">
        <v>17</v>
      </c>
      <c r="H116" s="6"/>
      <c r="I116" s="6" t="s">
        <v>91</v>
      </c>
      <c r="J116" s="1" t="s">
        <v>20</v>
      </c>
      <c r="K116" s="14" t="s">
        <v>9</v>
      </c>
      <c r="L116" s="6">
        <f>SUM(E17,E18,)</f>
        <v>7</v>
      </c>
      <c r="N116" s="84">
        <v>17</v>
      </c>
      <c r="O116" s="8" t="s">
        <v>22</v>
      </c>
      <c r="P116" s="8" t="s">
        <v>93</v>
      </c>
      <c r="Q116" s="8" t="s">
        <v>11</v>
      </c>
      <c r="R116" s="8" t="s">
        <v>60</v>
      </c>
      <c r="S116" s="8">
        <v>7</v>
      </c>
      <c r="T116" s="19">
        <f t="shared" si="1"/>
        <v>3.3333333333333333E-2</v>
      </c>
      <c r="U116" s="20">
        <f t="shared" si="2"/>
        <v>-3.4011973816621555</v>
      </c>
      <c r="V116" s="19">
        <f t="shared" si="3"/>
        <v>-0.11337324605540518</v>
      </c>
      <c r="W116" s="35">
        <f t="shared" si="4"/>
        <v>1.1111111111111111E-3</v>
      </c>
    </row>
    <row r="117" spans="6:23" ht="15.75" x14ac:dyDescent="0.25">
      <c r="G117" s="3">
        <v>18</v>
      </c>
      <c r="H117" s="6"/>
      <c r="I117" s="6" t="s">
        <v>93</v>
      </c>
      <c r="J117" s="1" t="s">
        <v>62</v>
      </c>
      <c r="K117" s="14" t="s">
        <v>67</v>
      </c>
      <c r="L117" s="6">
        <f>SUM(E80)</f>
        <v>3</v>
      </c>
      <c r="N117" s="84">
        <v>18</v>
      </c>
      <c r="O117" s="8" t="s">
        <v>19</v>
      </c>
      <c r="P117" s="8" t="s">
        <v>93</v>
      </c>
      <c r="Q117" s="8" t="s">
        <v>62</v>
      </c>
      <c r="R117" s="21" t="s">
        <v>67</v>
      </c>
      <c r="S117" s="8">
        <v>3</v>
      </c>
      <c r="T117" s="19">
        <f t="shared" si="1"/>
        <v>1.4285714285714285E-2</v>
      </c>
      <c r="U117" s="20">
        <f t="shared" si="2"/>
        <v>-4.2484952420493594</v>
      </c>
      <c r="V117" s="19">
        <f t="shared" si="3"/>
        <v>-6.06927891721337E-2</v>
      </c>
      <c r="W117" s="35">
        <f t="shared" si="4"/>
        <v>2.040816326530612E-4</v>
      </c>
    </row>
    <row r="118" spans="6:23" ht="15.75" x14ac:dyDescent="0.25">
      <c r="G118" s="3">
        <v>19</v>
      </c>
      <c r="H118" s="6"/>
      <c r="I118" s="6" t="s">
        <v>93</v>
      </c>
      <c r="J118" s="1" t="s">
        <v>11</v>
      </c>
      <c r="K118" s="1" t="s">
        <v>67</v>
      </c>
      <c r="L118" s="6">
        <f>SUM(E7,E11,E22,E30,E41,E20)</f>
        <v>41</v>
      </c>
      <c r="N118" s="84">
        <v>19</v>
      </c>
      <c r="O118" s="8" t="s">
        <v>19</v>
      </c>
      <c r="P118" s="8" t="s">
        <v>93</v>
      </c>
      <c r="Q118" s="8" t="s">
        <v>11</v>
      </c>
      <c r="R118" s="8" t="s">
        <v>67</v>
      </c>
      <c r="S118" s="8">
        <v>41</v>
      </c>
      <c r="T118" s="19">
        <f t="shared" si="1"/>
        <v>0.19523809523809524</v>
      </c>
      <c r="U118" s="20">
        <f>LN(T118)</f>
        <v>-1.633535464013161</v>
      </c>
      <c r="V118" s="19">
        <f t="shared" si="3"/>
        <v>-0.3189283524978076</v>
      </c>
      <c r="W118" s="35">
        <f t="shared" si="4"/>
        <v>3.8117913832199549E-2</v>
      </c>
    </row>
    <row r="119" spans="6:23" ht="15.75" x14ac:dyDescent="0.25">
      <c r="F119" s="10"/>
      <c r="G119" s="87"/>
      <c r="H119" s="6"/>
      <c r="I119" s="6"/>
      <c r="J119" s="6"/>
      <c r="K119" s="6"/>
      <c r="L119" s="6">
        <f>SUM(L100:L118)</f>
        <v>210</v>
      </c>
      <c r="N119" s="165" t="s">
        <v>82</v>
      </c>
      <c r="O119" s="165"/>
      <c r="P119" s="165"/>
      <c r="Q119" s="165"/>
      <c r="R119" s="165"/>
      <c r="S119" s="47">
        <f>SUM(S100:S118)</f>
        <v>210</v>
      </c>
      <c r="T119" s="62">
        <f>SUM(T100:T118)</f>
        <v>0.99999999999999989</v>
      </c>
      <c r="U119" s="47"/>
      <c r="V119" s="63">
        <f>SUM(V100:V118)</f>
        <v>-2.2244643678211631</v>
      </c>
      <c r="W119" s="63">
        <f>SUM(W100:W118)</f>
        <v>0.1488888888888889</v>
      </c>
    </row>
    <row r="120" spans="6:23" ht="15.75" x14ac:dyDescent="0.25">
      <c r="N120" s="166" t="s">
        <v>83</v>
      </c>
      <c r="O120" s="166"/>
      <c r="P120" s="166"/>
      <c r="Q120" s="166"/>
      <c r="R120" s="166"/>
      <c r="S120" s="38"/>
      <c r="T120" s="39"/>
      <c r="U120" s="39"/>
      <c r="V120" s="40">
        <f>-(V119)</f>
        <v>2.2244643678211631</v>
      </c>
      <c r="W120" s="39"/>
    </row>
    <row r="121" spans="6:23" ht="15.75" x14ac:dyDescent="0.25">
      <c r="N121" s="167" t="s">
        <v>84</v>
      </c>
      <c r="O121" s="167"/>
      <c r="P121" s="167"/>
      <c r="Q121" s="167"/>
      <c r="R121" s="167"/>
      <c r="S121" s="41"/>
      <c r="T121" s="42"/>
      <c r="U121" s="42"/>
      <c r="V121" s="43">
        <f>V120/LN(12)</f>
        <v>0.89519031550378081</v>
      </c>
      <c r="W121" s="42"/>
    </row>
    <row r="122" spans="6:23" ht="15.75" x14ac:dyDescent="0.25">
      <c r="N122" s="168" t="s">
        <v>85</v>
      </c>
      <c r="O122" s="168"/>
      <c r="P122" s="168"/>
      <c r="Q122" s="168"/>
      <c r="R122" s="168"/>
      <c r="S122" s="44"/>
      <c r="T122" s="45"/>
      <c r="U122" s="45"/>
      <c r="V122" s="46">
        <f>W119</f>
        <v>0.1488888888888889</v>
      </c>
      <c r="W122" s="45"/>
    </row>
    <row r="125" spans="6:23" x14ac:dyDescent="0.25">
      <c r="N125" t="s">
        <v>6</v>
      </c>
      <c r="O125" t="s">
        <v>137</v>
      </c>
      <c r="R125" t="s">
        <v>6</v>
      </c>
      <c r="S125" t="s">
        <v>138</v>
      </c>
    </row>
    <row r="126" spans="6:23" x14ac:dyDescent="0.25">
      <c r="N126" t="s">
        <v>22</v>
      </c>
      <c r="O126">
        <v>2</v>
      </c>
      <c r="R126" t="s">
        <v>22</v>
      </c>
      <c r="S126">
        <v>2</v>
      </c>
    </row>
    <row r="127" spans="6:23" x14ac:dyDescent="0.25">
      <c r="N127" t="s">
        <v>19</v>
      </c>
      <c r="O127">
        <v>4</v>
      </c>
      <c r="R127" t="s">
        <v>19</v>
      </c>
      <c r="S127">
        <f>SUM(L115:L118)</f>
        <v>57</v>
      </c>
    </row>
    <row r="128" spans="6:23" x14ac:dyDescent="0.25">
      <c r="N128" t="s">
        <v>7</v>
      </c>
      <c r="O128">
        <v>7</v>
      </c>
      <c r="R128" t="s">
        <v>7</v>
      </c>
      <c r="S128">
        <f>SUM(L106:L112)</f>
        <v>128</v>
      </c>
    </row>
    <row r="129" spans="14:19" x14ac:dyDescent="0.25">
      <c r="N129" t="s">
        <v>28</v>
      </c>
      <c r="O129">
        <v>6</v>
      </c>
      <c r="R129" t="s">
        <v>28</v>
      </c>
      <c r="S129">
        <f>SUM(L113:L114,L102,L103,L104,L105)</f>
        <v>23</v>
      </c>
    </row>
    <row r="130" spans="14:19" x14ac:dyDescent="0.25">
      <c r="S130">
        <f>SUM(S126:S129)</f>
        <v>210</v>
      </c>
    </row>
    <row r="145" spans="3:16" ht="15.75" x14ac:dyDescent="0.25"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3:16" ht="15.75" x14ac:dyDescent="0.25">
      <c r="C146" s="3" t="s">
        <v>88</v>
      </c>
      <c r="D146" s="3" t="s">
        <v>105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3:16" ht="15.75" x14ac:dyDescent="0.25">
      <c r="C147" s="21" t="s">
        <v>89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3:16" ht="15.75" x14ac:dyDescent="0.25">
      <c r="C148" s="8" t="s">
        <v>96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3:16" ht="15.75" x14ac:dyDescent="0.25">
      <c r="C149" s="21" t="s">
        <v>91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3:16" ht="15.75" x14ac:dyDescent="0.25">
      <c r="C150" s="8" t="s">
        <v>95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3:16" ht="15.75" x14ac:dyDescent="0.25">
      <c r="C151" s="8" t="s">
        <v>93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</sheetData>
  <mergeCells count="7">
    <mergeCell ref="N119:R119"/>
    <mergeCell ref="N120:R120"/>
    <mergeCell ref="N121:R121"/>
    <mergeCell ref="N122:R122"/>
    <mergeCell ref="A1:C1"/>
    <mergeCell ref="A2:B2"/>
    <mergeCell ref="A3:B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9"/>
  <sheetViews>
    <sheetView zoomScale="60" zoomScaleNormal="60" workbookViewId="0">
      <pane ySplit="1560" topLeftCell="A163" activePane="bottomLeft"/>
      <selection pane="bottomLeft" activeCell="G161" sqref="G161:P189"/>
    </sheetView>
  </sheetViews>
  <sheetFormatPr defaultRowHeight="15" x14ac:dyDescent="0.25"/>
  <cols>
    <col min="1" max="1" width="8.140625" customWidth="1"/>
    <col min="2" max="2" width="16.7109375" customWidth="1"/>
    <col min="3" max="3" width="20.42578125" customWidth="1"/>
    <col min="4" max="4" width="24.42578125" customWidth="1"/>
    <col min="5" max="5" width="13.5703125" customWidth="1"/>
    <col min="9" max="9" width="9.85546875" customWidth="1"/>
    <col min="10" max="10" width="9.28515625" customWidth="1"/>
    <col min="11" max="11" width="14.5703125" customWidth="1"/>
    <col min="12" max="12" width="11.5703125" customWidth="1"/>
    <col min="13" max="13" width="12.140625" customWidth="1"/>
    <col min="16" max="16" width="11.85546875" customWidth="1"/>
  </cols>
  <sheetData>
    <row r="1" spans="1:39" ht="15.75" x14ac:dyDescent="0.25">
      <c r="A1" s="169" t="s">
        <v>54</v>
      </c>
      <c r="B1" s="169"/>
      <c r="C1" s="169"/>
      <c r="D1" s="8" t="s">
        <v>61</v>
      </c>
      <c r="E1" s="7" t="s">
        <v>41</v>
      </c>
      <c r="F1" s="7" t="s">
        <v>70</v>
      </c>
      <c r="H1" s="13" t="s">
        <v>72</v>
      </c>
      <c r="I1" s="13"/>
    </row>
    <row r="2" spans="1:39" ht="15.75" x14ac:dyDescent="0.25">
      <c r="A2" s="169" t="s">
        <v>1</v>
      </c>
      <c r="B2" s="169"/>
      <c r="C2" s="8">
        <v>16.45</v>
      </c>
      <c r="D2" s="8"/>
      <c r="E2" s="7" t="s">
        <v>42</v>
      </c>
      <c r="F2" s="7" t="s">
        <v>71</v>
      </c>
      <c r="H2" s="13" t="s">
        <v>74</v>
      </c>
      <c r="I2" s="13"/>
    </row>
    <row r="3" spans="1:39" ht="15.75" x14ac:dyDescent="0.25">
      <c r="A3" s="169" t="s">
        <v>45</v>
      </c>
      <c r="B3" s="169"/>
      <c r="C3" s="8">
        <v>2</v>
      </c>
      <c r="D3" s="8"/>
      <c r="E3" s="10"/>
      <c r="F3" s="10"/>
    </row>
    <row r="5" spans="1:39" s="115" customFormat="1" ht="51.75" x14ac:dyDescent="0.25">
      <c r="A5" s="114" t="s">
        <v>2</v>
      </c>
      <c r="B5" s="114" t="s">
        <v>6</v>
      </c>
      <c r="C5" s="114" t="s">
        <v>3</v>
      </c>
      <c r="D5" s="114" t="s">
        <v>4</v>
      </c>
      <c r="E5" s="114" t="s">
        <v>5</v>
      </c>
      <c r="H5" s="116" t="s">
        <v>130</v>
      </c>
      <c r="I5" s="117" t="s">
        <v>101</v>
      </c>
      <c r="J5" s="117" t="s">
        <v>112</v>
      </c>
      <c r="K5" s="118" t="s">
        <v>64</v>
      </c>
      <c r="L5" s="118" t="s">
        <v>102</v>
      </c>
      <c r="M5" s="117" t="s">
        <v>113</v>
      </c>
      <c r="N5" s="118" t="s">
        <v>114</v>
      </c>
      <c r="O5" s="117" t="s">
        <v>103</v>
      </c>
      <c r="P5" s="117" t="s">
        <v>104</v>
      </c>
      <c r="Q5" s="118" t="s">
        <v>37</v>
      </c>
      <c r="R5" s="118" t="s">
        <v>34</v>
      </c>
      <c r="S5" s="118" t="s">
        <v>18</v>
      </c>
      <c r="T5" s="118" t="s">
        <v>30</v>
      </c>
      <c r="U5" s="117" t="s">
        <v>68</v>
      </c>
      <c r="V5" s="117" t="s">
        <v>115</v>
      </c>
      <c r="W5" s="117" t="s">
        <v>116</v>
      </c>
      <c r="X5" s="117" t="s">
        <v>117</v>
      </c>
      <c r="Y5" s="117" t="s">
        <v>118</v>
      </c>
      <c r="Z5" s="117" t="s">
        <v>119</v>
      </c>
      <c r="AA5" s="117" t="s">
        <v>120</v>
      </c>
      <c r="AB5" s="117" t="s">
        <v>121</v>
      </c>
      <c r="AC5" s="118" t="s">
        <v>55</v>
      </c>
      <c r="AD5" s="118" t="s">
        <v>13</v>
      </c>
      <c r="AE5" s="117" t="s">
        <v>122</v>
      </c>
      <c r="AF5" s="119" t="s">
        <v>97</v>
      </c>
      <c r="AG5" s="118" t="s">
        <v>123</v>
      </c>
      <c r="AH5" s="118" t="s">
        <v>58</v>
      </c>
      <c r="AI5" s="118" t="s">
        <v>69</v>
      </c>
      <c r="AJ5" s="118" t="s">
        <v>124</v>
      </c>
      <c r="AK5" s="117" t="s">
        <v>125</v>
      </c>
      <c r="AL5" s="118" t="s">
        <v>60</v>
      </c>
      <c r="AM5" s="120" t="s">
        <v>126</v>
      </c>
    </row>
    <row r="6" spans="1:39" x14ac:dyDescent="0.25">
      <c r="A6" s="6">
        <v>1</v>
      </c>
      <c r="B6" s="6" t="s">
        <v>7</v>
      </c>
      <c r="C6" s="6" t="s">
        <v>10</v>
      </c>
      <c r="D6" s="6" t="s">
        <v>9</v>
      </c>
      <c r="E6" s="6">
        <v>2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2</v>
      </c>
      <c r="V6">
        <v>1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</row>
    <row r="7" spans="1:39" x14ac:dyDescent="0.25">
      <c r="A7" s="6"/>
      <c r="B7" s="6" t="s">
        <v>7</v>
      </c>
      <c r="C7" s="6" t="s">
        <v>10</v>
      </c>
      <c r="D7" s="6" t="s">
        <v>16</v>
      </c>
      <c r="E7" s="6">
        <v>1</v>
      </c>
      <c r="H7">
        <v>2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</row>
    <row r="8" spans="1:39" x14ac:dyDescent="0.25">
      <c r="A8" s="6">
        <v>2</v>
      </c>
      <c r="B8" s="6">
        <v>0</v>
      </c>
      <c r="C8" s="6"/>
      <c r="D8" s="6"/>
      <c r="E8" s="6"/>
      <c r="H8">
        <v>3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</row>
    <row r="9" spans="1:39" x14ac:dyDescent="0.25">
      <c r="A9" s="6">
        <v>3</v>
      </c>
      <c r="B9" s="6">
        <v>0</v>
      </c>
      <c r="C9" s="6"/>
      <c r="D9" s="6"/>
      <c r="E9" s="6"/>
      <c r="H9">
        <v>4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2</v>
      </c>
      <c r="T9">
        <v>0</v>
      </c>
      <c r="U9">
        <v>1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</row>
    <row r="10" spans="1:39" x14ac:dyDescent="0.25">
      <c r="A10" s="6">
        <v>4</v>
      </c>
      <c r="B10" s="6" t="s">
        <v>7</v>
      </c>
      <c r="C10" s="6" t="s">
        <v>8</v>
      </c>
      <c r="D10" s="6" t="s">
        <v>18</v>
      </c>
      <c r="E10" s="6">
        <v>2</v>
      </c>
      <c r="H10">
        <v>5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</row>
    <row r="11" spans="1:39" x14ac:dyDescent="0.25">
      <c r="A11" s="6"/>
      <c r="B11" s="6" t="s">
        <v>7</v>
      </c>
      <c r="C11" s="6" t="s">
        <v>8</v>
      </c>
      <c r="D11" s="6" t="s">
        <v>9</v>
      </c>
      <c r="E11" s="6">
        <v>1</v>
      </c>
      <c r="H11">
        <v>6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</row>
    <row r="12" spans="1:39" x14ac:dyDescent="0.25">
      <c r="A12" s="6">
        <v>5</v>
      </c>
      <c r="B12" s="6">
        <v>0</v>
      </c>
      <c r="C12" s="6"/>
      <c r="D12" s="6"/>
      <c r="E12" s="6"/>
      <c r="H12" s="108">
        <v>7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2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</row>
    <row r="13" spans="1:39" x14ac:dyDescent="0.25">
      <c r="A13" s="6">
        <v>6</v>
      </c>
      <c r="B13" s="6">
        <v>0</v>
      </c>
      <c r="C13" s="6"/>
      <c r="D13" s="6"/>
      <c r="E13" s="6"/>
      <c r="H13">
        <v>8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2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</row>
    <row r="14" spans="1:39" x14ac:dyDescent="0.25">
      <c r="A14" s="6">
        <v>7</v>
      </c>
      <c r="B14" s="6" t="s">
        <v>7</v>
      </c>
      <c r="C14" s="6" t="s">
        <v>12</v>
      </c>
      <c r="D14" s="6" t="s">
        <v>13</v>
      </c>
      <c r="E14" s="6">
        <v>1</v>
      </c>
      <c r="H14">
        <v>9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</row>
    <row r="15" spans="1:39" x14ac:dyDescent="0.25">
      <c r="A15" s="6"/>
      <c r="B15" s="6" t="s">
        <v>7</v>
      </c>
      <c r="C15" s="6" t="s">
        <v>14</v>
      </c>
      <c r="D15" s="6" t="s">
        <v>9</v>
      </c>
      <c r="E15" s="6">
        <v>2</v>
      </c>
      <c r="H15">
        <v>10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</row>
    <row r="16" spans="1:39" x14ac:dyDescent="0.25">
      <c r="A16" s="6">
        <v>8</v>
      </c>
      <c r="B16" s="6" t="s">
        <v>19</v>
      </c>
      <c r="C16" s="6" t="s">
        <v>20</v>
      </c>
      <c r="D16" s="6" t="s">
        <v>9</v>
      </c>
      <c r="E16" s="6">
        <v>2</v>
      </c>
      <c r="H16">
        <v>11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</row>
    <row r="17" spans="1:39" x14ac:dyDescent="0.25">
      <c r="A17" s="6">
        <v>9</v>
      </c>
      <c r="B17" s="6">
        <v>0</v>
      </c>
      <c r="C17" s="6"/>
      <c r="D17" s="6"/>
      <c r="E17" s="6"/>
      <c r="H17">
        <v>12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</row>
    <row r="18" spans="1:39" x14ac:dyDescent="0.25">
      <c r="A18" s="6">
        <v>10</v>
      </c>
      <c r="B18" s="6">
        <v>0</v>
      </c>
      <c r="C18" s="6"/>
      <c r="D18" s="6"/>
      <c r="E18" s="6"/>
      <c r="H18">
        <v>13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1</v>
      </c>
    </row>
    <row r="19" spans="1:39" x14ac:dyDescent="0.25">
      <c r="A19" s="6">
        <v>11</v>
      </c>
      <c r="B19" s="6">
        <v>0</v>
      </c>
      <c r="C19" s="6"/>
      <c r="D19" s="6"/>
      <c r="E19" s="6"/>
      <c r="H19">
        <v>14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</row>
    <row r="20" spans="1:39" x14ac:dyDescent="0.25">
      <c r="A20" s="6">
        <v>12</v>
      </c>
      <c r="B20" s="6">
        <v>0</v>
      </c>
      <c r="C20" s="6"/>
      <c r="D20" s="6"/>
      <c r="E20" s="6"/>
      <c r="H20">
        <v>15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</row>
    <row r="21" spans="1:39" x14ac:dyDescent="0.25">
      <c r="A21" s="6">
        <v>13</v>
      </c>
      <c r="B21" s="6" t="s">
        <v>19</v>
      </c>
      <c r="C21" s="6" t="s">
        <v>11</v>
      </c>
      <c r="D21" s="6" t="s">
        <v>67</v>
      </c>
      <c r="E21" s="6">
        <v>1</v>
      </c>
      <c r="H21">
        <v>16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</row>
    <row r="22" spans="1:39" x14ac:dyDescent="0.25">
      <c r="A22" s="6">
        <v>14</v>
      </c>
      <c r="B22" s="6">
        <v>0</v>
      </c>
      <c r="C22" s="6"/>
      <c r="D22" s="6"/>
      <c r="E22" s="6"/>
      <c r="H22">
        <v>17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1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</row>
    <row r="23" spans="1:39" x14ac:dyDescent="0.25">
      <c r="A23" s="6">
        <v>15</v>
      </c>
      <c r="B23" s="6" t="s">
        <v>7</v>
      </c>
      <c r="C23" s="6" t="s">
        <v>38</v>
      </c>
      <c r="D23" s="6" t="s">
        <v>13</v>
      </c>
      <c r="E23" s="6">
        <v>1</v>
      </c>
      <c r="H23">
        <v>18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</row>
    <row r="24" spans="1:39" x14ac:dyDescent="0.25">
      <c r="A24" s="6">
        <v>16</v>
      </c>
      <c r="B24" s="6">
        <v>0</v>
      </c>
      <c r="C24" s="6"/>
      <c r="D24" s="6"/>
      <c r="E24" s="6"/>
      <c r="H24">
        <v>19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</row>
    <row r="25" spans="1:39" x14ac:dyDescent="0.25">
      <c r="A25" s="6">
        <v>17</v>
      </c>
      <c r="B25" s="6" t="s">
        <v>7</v>
      </c>
      <c r="C25" s="6" t="s">
        <v>36</v>
      </c>
      <c r="D25" s="6" t="s">
        <v>67</v>
      </c>
      <c r="E25" s="6">
        <v>1</v>
      </c>
      <c r="H25">
        <v>20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</row>
    <row r="26" spans="1:39" x14ac:dyDescent="0.25">
      <c r="A26" s="6">
        <v>18</v>
      </c>
      <c r="B26" s="6">
        <v>0</v>
      </c>
      <c r="C26" s="6"/>
      <c r="D26" s="6"/>
      <c r="E26" s="6"/>
      <c r="H26">
        <v>21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</row>
    <row r="27" spans="1:39" x14ac:dyDescent="0.25">
      <c r="A27" s="6">
        <v>19</v>
      </c>
      <c r="B27" s="6">
        <v>0</v>
      </c>
      <c r="C27" s="6"/>
      <c r="D27" s="6"/>
      <c r="E27" s="6"/>
      <c r="H27">
        <v>22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</row>
    <row r="28" spans="1:39" x14ac:dyDescent="0.25">
      <c r="A28" s="6">
        <v>20</v>
      </c>
      <c r="B28" s="6">
        <v>0</v>
      </c>
      <c r="C28" s="6"/>
      <c r="D28" s="6"/>
      <c r="E28" s="6"/>
      <c r="H28">
        <v>23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2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</row>
    <row r="29" spans="1:39" x14ac:dyDescent="0.25">
      <c r="A29" s="6">
        <v>21</v>
      </c>
      <c r="B29" s="6">
        <v>0</v>
      </c>
      <c r="C29" s="6"/>
      <c r="D29" s="6"/>
      <c r="E29" s="6"/>
      <c r="H29">
        <v>24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</row>
    <row r="30" spans="1:39" x14ac:dyDescent="0.25">
      <c r="A30" s="6">
        <v>22</v>
      </c>
      <c r="B30" s="6">
        <v>0</v>
      </c>
      <c r="C30" s="6"/>
      <c r="D30" s="6"/>
      <c r="E30" s="6"/>
      <c r="H30">
        <v>25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3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</row>
    <row r="31" spans="1:39" x14ac:dyDescent="0.25">
      <c r="A31" s="6">
        <v>23</v>
      </c>
      <c r="B31" s="6" t="s">
        <v>7</v>
      </c>
      <c r="C31" s="6" t="s">
        <v>8</v>
      </c>
      <c r="D31" s="6" t="s">
        <v>18</v>
      </c>
      <c r="E31" s="6">
        <v>2</v>
      </c>
      <c r="H31">
        <v>26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4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</row>
    <row r="32" spans="1:39" x14ac:dyDescent="0.25">
      <c r="A32" s="6">
        <v>24</v>
      </c>
      <c r="B32" s="6">
        <v>0</v>
      </c>
      <c r="C32" s="6"/>
      <c r="D32" s="6"/>
      <c r="E32" s="6"/>
      <c r="H32">
        <v>27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6</v>
      </c>
      <c r="U32">
        <v>7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</row>
    <row r="33" spans="1:39" x14ac:dyDescent="0.25">
      <c r="A33" s="6">
        <v>25</v>
      </c>
      <c r="B33" s="6" t="s">
        <v>7</v>
      </c>
      <c r="C33" s="6" t="s">
        <v>8</v>
      </c>
      <c r="D33" s="6" t="s">
        <v>9</v>
      </c>
      <c r="E33" s="6">
        <v>3</v>
      </c>
      <c r="H33">
        <v>28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1</v>
      </c>
      <c r="S33">
        <v>0</v>
      </c>
      <c r="T33">
        <v>5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</row>
    <row r="34" spans="1:39" x14ac:dyDescent="0.25">
      <c r="A34" s="6">
        <v>26</v>
      </c>
      <c r="B34" s="6" t="s">
        <v>7</v>
      </c>
      <c r="C34" s="6" t="s">
        <v>20</v>
      </c>
      <c r="D34" s="6" t="s">
        <v>16</v>
      </c>
      <c r="E34" s="6">
        <v>4</v>
      </c>
      <c r="H34">
        <v>29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</row>
    <row r="35" spans="1:39" x14ac:dyDescent="0.25">
      <c r="A35" s="6">
        <v>27</v>
      </c>
      <c r="B35" s="6" t="s">
        <v>7</v>
      </c>
      <c r="C35" s="6" t="s">
        <v>8</v>
      </c>
      <c r="D35" s="6" t="s">
        <v>9</v>
      </c>
      <c r="E35" s="6">
        <v>7</v>
      </c>
      <c r="H35">
        <v>30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</row>
    <row r="36" spans="1:39" x14ac:dyDescent="0.25">
      <c r="A36" s="6"/>
      <c r="B36" s="6" t="s">
        <v>28</v>
      </c>
      <c r="C36" s="6" t="s">
        <v>10</v>
      </c>
      <c r="D36" s="6" t="s">
        <v>30</v>
      </c>
      <c r="E36" s="6">
        <v>6</v>
      </c>
      <c r="H36">
        <v>31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</row>
    <row r="37" spans="1:39" x14ac:dyDescent="0.25">
      <c r="A37" s="6">
        <v>28</v>
      </c>
      <c r="B37" s="6" t="s">
        <v>28</v>
      </c>
      <c r="C37" s="6" t="s">
        <v>10</v>
      </c>
      <c r="D37" s="6" t="s">
        <v>30</v>
      </c>
      <c r="E37" s="6">
        <v>5</v>
      </c>
      <c r="H37">
        <v>32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</row>
    <row r="38" spans="1:39" x14ac:dyDescent="0.25">
      <c r="A38" s="6"/>
      <c r="B38" s="6" t="s">
        <v>7</v>
      </c>
      <c r="C38" s="6" t="s">
        <v>8</v>
      </c>
      <c r="D38" s="6" t="s">
        <v>34</v>
      </c>
      <c r="E38" s="6">
        <v>1</v>
      </c>
      <c r="H38">
        <v>33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</row>
    <row r="39" spans="1:39" x14ac:dyDescent="0.25">
      <c r="A39" s="6">
        <v>29</v>
      </c>
      <c r="B39" s="6">
        <v>0</v>
      </c>
      <c r="C39" s="6"/>
      <c r="D39" s="6"/>
      <c r="E39" s="6"/>
      <c r="H39">
        <v>34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</row>
    <row r="40" spans="1:39" x14ac:dyDescent="0.25">
      <c r="A40" s="6">
        <v>30</v>
      </c>
      <c r="B40" s="6">
        <v>0</v>
      </c>
      <c r="C40" s="6"/>
      <c r="D40" s="6"/>
      <c r="E40" s="6"/>
      <c r="H40">
        <v>35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6</v>
      </c>
      <c r="T40">
        <v>3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</row>
    <row r="41" spans="1:39" x14ac:dyDescent="0.25">
      <c r="A41" s="6">
        <v>31</v>
      </c>
      <c r="B41" s="6">
        <v>0</v>
      </c>
      <c r="C41" s="6"/>
      <c r="D41" s="6"/>
      <c r="E41" s="6"/>
      <c r="H41">
        <v>36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</row>
    <row r="42" spans="1:39" x14ac:dyDescent="0.25">
      <c r="A42" s="6">
        <v>32</v>
      </c>
      <c r="B42" s="6">
        <v>0</v>
      </c>
      <c r="C42" s="6"/>
      <c r="D42" s="6"/>
      <c r="E42" s="6"/>
      <c r="H42">
        <v>37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3</v>
      </c>
      <c r="AD42">
        <v>4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</row>
    <row r="43" spans="1:39" x14ac:dyDescent="0.25">
      <c r="A43" s="6">
        <v>33</v>
      </c>
      <c r="B43" s="6">
        <v>0</v>
      </c>
      <c r="C43" s="6"/>
      <c r="D43" s="6"/>
      <c r="E43" s="6"/>
      <c r="H43">
        <v>38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1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</row>
    <row r="44" spans="1:39" x14ac:dyDescent="0.25">
      <c r="A44" s="6">
        <v>34</v>
      </c>
      <c r="B44" s="6">
        <v>0</v>
      </c>
      <c r="C44" s="6"/>
      <c r="D44" s="6"/>
      <c r="E44" s="6"/>
      <c r="H44">
        <v>39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11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</row>
    <row r="45" spans="1:39" x14ac:dyDescent="0.25">
      <c r="A45" s="6">
        <v>35</v>
      </c>
      <c r="B45" s="6" t="s">
        <v>7</v>
      </c>
      <c r="C45" s="6" t="s">
        <v>38</v>
      </c>
      <c r="D45" s="6" t="s">
        <v>13</v>
      </c>
      <c r="E45" s="6">
        <v>1</v>
      </c>
      <c r="H45">
        <v>40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4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</row>
    <row r="46" spans="1:39" x14ac:dyDescent="0.25">
      <c r="A46" s="6"/>
      <c r="B46" s="6" t="s">
        <v>28</v>
      </c>
      <c r="C46" s="6" t="s">
        <v>10</v>
      </c>
      <c r="D46" s="6" t="s">
        <v>30</v>
      </c>
      <c r="E46" s="6">
        <v>3</v>
      </c>
      <c r="H46">
        <v>41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12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</row>
    <row r="47" spans="1:39" x14ac:dyDescent="0.25">
      <c r="A47" s="6"/>
      <c r="B47" s="6" t="s">
        <v>7</v>
      </c>
      <c r="C47" s="6" t="s">
        <v>8</v>
      </c>
      <c r="D47" s="6" t="s">
        <v>18</v>
      </c>
      <c r="E47" s="6">
        <v>6</v>
      </c>
      <c r="H47">
        <v>42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9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</row>
    <row r="48" spans="1:39" x14ac:dyDescent="0.25">
      <c r="A48" s="6">
        <v>36</v>
      </c>
      <c r="B48" s="6">
        <v>0</v>
      </c>
      <c r="C48" s="6"/>
      <c r="D48" s="6"/>
      <c r="E48" s="6"/>
      <c r="H48">
        <v>43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</row>
    <row r="49" spans="1:39" x14ac:dyDescent="0.25">
      <c r="A49" s="6">
        <v>37</v>
      </c>
      <c r="B49" s="6" t="s">
        <v>7</v>
      </c>
      <c r="C49" s="6" t="s">
        <v>12</v>
      </c>
      <c r="D49" s="6" t="s">
        <v>55</v>
      </c>
      <c r="E49" s="6">
        <v>3</v>
      </c>
      <c r="H49">
        <v>44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</row>
    <row r="50" spans="1:39" x14ac:dyDescent="0.25">
      <c r="A50" s="6"/>
      <c r="B50" s="6" t="s">
        <v>7</v>
      </c>
      <c r="C50" s="6" t="s">
        <v>56</v>
      </c>
      <c r="D50" s="6" t="s">
        <v>13</v>
      </c>
      <c r="E50" s="6">
        <v>4</v>
      </c>
      <c r="H50">
        <v>45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1</v>
      </c>
      <c r="R50">
        <v>0</v>
      </c>
      <c r="S50">
        <v>5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</row>
    <row r="51" spans="1:39" x14ac:dyDescent="0.25">
      <c r="A51" s="6">
        <v>38</v>
      </c>
      <c r="B51" s="6" t="s">
        <v>7</v>
      </c>
      <c r="C51" s="6" t="s">
        <v>8</v>
      </c>
      <c r="D51" s="6" t="s">
        <v>34</v>
      </c>
      <c r="E51" s="6">
        <v>1</v>
      </c>
      <c r="H51">
        <v>46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1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4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</row>
    <row r="52" spans="1:39" x14ac:dyDescent="0.25">
      <c r="A52" s="6">
        <v>39</v>
      </c>
      <c r="B52" s="6" t="s">
        <v>28</v>
      </c>
      <c r="C52" s="6" t="s">
        <v>8</v>
      </c>
      <c r="D52" s="6" t="s">
        <v>30</v>
      </c>
      <c r="E52" s="6">
        <v>11</v>
      </c>
      <c r="H52">
        <v>47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5</v>
      </c>
      <c r="T52">
        <v>4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</row>
    <row r="53" spans="1:39" x14ac:dyDescent="0.25">
      <c r="A53" s="6">
        <v>40</v>
      </c>
      <c r="B53" s="12" t="s">
        <v>7</v>
      </c>
      <c r="C53" s="12" t="s">
        <v>12</v>
      </c>
      <c r="D53" s="12" t="s">
        <v>13</v>
      </c>
      <c r="E53" s="12">
        <v>4</v>
      </c>
      <c r="H53">
        <v>48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1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</row>
    <row r="54" spans="1:39" x14ac:dyDescent="0.25">
      <c r="A54" s="6">
        <v>41</v>
      </c>
      <c r="B54" s="6" t="s">
        <v>7</v>
      </c>
      <c r="C54" s="6" t="s">
        <v>10</v>
      </c>
      <c r="D54" s="6" t="s">
        <v>18</v>
      </c>
      <c r="E54" s="6">
        <v>12</v>
      </c>
      <c r="H54">
        <v>49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</row>
    <row r="55" spans="1:39" x14ac:dyDescent="0.25">
      <c r="A55" s="6">
        <v>42</v>
      </c>
      <c r="B55" s="6" t="s">
        <v>7</v>
      </c>
      <c r="C55" s="6" t="s">
        <v>8</v>
      </c>
      <c r="D55" s="6" t="s">
        <v>18</v>
      </c>
      <c r="E55" s="6">
        <v>9</v>
      </c>
      <c r="H55">
        <v>50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</row>
    <row r="56" spans="1:39" x14ac:dyDescent="0.25">
      <c r="A56" s="6">
        <v>43</v>
      </c>
      <c r="B56" s="6">
        <v>0</v>
      </c>
      <c r="C56" s="6"/>
      <c r="D56" s="6"/>
      <c r="E56" s="6"/>
      <c r="H56">
        <v>51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</row>
    <row r="57" spans="1:39" x14ac:dyDescent="0.25">
      <c r="A57" s="6">
        <v>44</v>
      </c>
      <c r="B57" s="6">
        <v>0</v>
      </c>
      <c r="C57" s="6"/>
      <c r="D57" s="6"/>
      <c r="E57" s="6"/>
      <c r="H57">
        <v>52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</row>
    <row r="58" spans="1:39" x14ac:dyDescent="0.25">
      <c r="A58" s="6">
        <v>45</v>
      </c>
      <c r="B58" s="6" t="s">
        <v>7</v>
      </c>
      <c r="C58" s="6" t="s">
        <v>8</v>
      </c>
      <c r="D58" s="6" t="s">
        <v>37</v>
      </c>
      <c r="E58" s="6">
        <v>1</v>
      </c>
      <c r="H58">
        <v>53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</row>
    <row r="59" spans="1:39" x14ac:dyDescent="0.25">
      <c r="A59" s="6"/>
      <c r="B59" s="6" t="s">
        <v>7</v>
      </c>
      <c r="C59" s="6" t="s">
        <v>8</v>
      </c>
      <c r="D59" s="6" t="s">
        <v>18</v>
      </c>
      <c r="E59" s="6">
        <v>5</v>
      </c>
      <c r="H59">
        <v>54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</row>
    <row r="60" spans="1:39" x14ac:dyDescent="0.25">
      <c r="A60" s="6">
        <v>46</v>
      </c>
      <c r="B60" s="6" t="s">
        <v>7</v>
      </c>
      <c r="C60" s="6" t="s">
        <v>38</v>
      </c>
      <c r="D60" s="6" t="s">
        <v>13</v>
      </c>
      <c r="E60" s="6">
        <v>4</v>
      </c>
      <c r="H60">
        <v>55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3</v>
      </c>
    </row>
    <row r="61" spans="1:39" x14ac:dyDescent="0.25">
      <c r="A61" s="6"/>
      <c r="B61" s="6" t="s">
        <v>7</v>
      </c>
      <c r="C61" s="6" t="s">
        <v>8</v>
      </c>
      <c r="D61" s="6" t="s">
        <v>18</v>
      </c>
      <c r="E61" s="6">
        <v>1</v>
      </c>
      <c r="H61">
        <v>56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</row>
    <row r="62" spans="1:39" x14ac:dyDescent="0.25">
      <c r="A62" s="6">
        <v>47</v>
      </c>
      <c r="B62" s="6" t="s">
        <v>7</v>
      </c>
      <c r="C62" s="6" t="s">
        <v>38</v>
      </c>
      <c r="D62" s="6" t="s">
        <v>13</v>
      </c>
      <c r="E62" s="6">
        <v>1</v>
      </c>
      <c r="H62">
        <v>57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</row>
    <row r="63" spans="1:39" x14ac:dyDescent="0.25">
      <c r="A63" s="6"/>
      <c r="B63" s="6" t="s">
        <v>28</v>
      </c>
      <c r="C63" s="6" t="s">
        <v>10</v>
      </c>
      <c r="D63" s="6" t="s">
        <v>30</v>
      </c>
      <c r="E63" s="6">
        <v>4</v>
      </c>
      <c r="H63">
        <v>58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1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</row>
    <row r="64" spans="1:39" x14ac:dyDescent="0.25">
      <c r="A64" s="6"/>
      <c r="B64" s="6" t="s">
        <v>7</v>
      </c>
      <c r="C64" s="6" t="s">
        <v>10</v>
      </c>
      <c r="D64" s="6" t="s">
        <v>18</v>
      </c>
      <c r="E64" s="6">
        <v>5</v>
      </c>
      <c r="H64">
        <v>59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6</v>
      </c>
    </row>
    <row r="65" spans="1:39" x14ac:dyDescent="0.25">
      <c r="A65" s="6">
        <v>48</v>
      </c>
      <c r="B65" s="6" t="s">
        <v>28</v>
      </c>
      <c r="C65" s="6" t="s">
        <v>8</v>
      </c>
      <c r="D65" s="6" t="s">
        <v>30</v>
      </c>
      <c r="E65" s="6">
        <v>1</v>
      </c>
      <c r="H65">
        <v>60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</row>
    <row r="66" spans="1:39" x14ac:dyDescent="0.25">
      <c r="A66" s="6">
        <v>49</v>
      </c>
      <c r="B66" s="6">
        <v>0</v>
      </c>
      <c r="C66" s="6"/>
      <c r="D66" s="6"/>
      <c r="E66" s="6"/>
      <c r="H66">
        <v>61</v>
      </c>
      <c r="I66">
        <v>1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</row>
    <row r="67" spans="1:39" x14ac:dyDescent="0.25">
      <c r="A67" s="6">
        <v>50</v>
      </c>
      <c r="B67" s="6">
        <v>0</v>
      </c>
      <c r="C67" s="6"/>
      <c r="D67" s="6"/>
      <c r="E67" s="6"/>
      <c r="H67">
        <v>62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</row>
    <row r="68" spans="1:39" x14ac:dyDescent="0.25">
      <c r="A68" s="6">
        <v>51</v>
      </c>
      <c r="B68" s="6">
        <v>0</v>
      </c>
      <c r="C68" s="6"/>
      <c r="D68" s="6"/>
      <c r="E68" s="6"/>
      <c r="H68">
        <v>63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1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</row>
    <row r="69" spans="1:39" x14ac:dyDescent="0.25">
      <c r="A69" s="6">
        <v>52</v>
      </c>
      <c r="B69" s="6">
        <v>0</v>
      </c>
      <c r="C69" s="6"/>
      <c r="D69" s="6"/>
      <c r="E69" s="6"/>
      <c r="H69">
        <v>64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</row>
    <row r="70" spans="1:39" x14ac:dyDescent="0.25">
      <c r="A70" s="6">
        <v>53</v>
      </c>
      <c r="B70" s="6" t="s">
        <v>7</v>
      </c>
      <c r="C70" s="6" t="s">
        <v>10</v>
      </c>
      <c r="D70" s="6" t="s">
        <v>18</v>
      </c>
      <c r="E70" s="6">
        <v>1</v>
      </c>
      <c r="H70" s="121">
        <v>65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3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</row>
    <row r="71" spans="1:39" x14ac:dyDescent="0.25">
      <c r="A71" s="6">
        <v>54</v>
      </c>
      <c r="B71" s="6">
        <v>0</v>
      </c>
      <c r="C71" s="6"/>
      <c r="D71" s="6"/>
      <c r="E71" s="6"/>
      <c r="H71">
        <v>66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2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2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</row>
    <row r="72" spans="1:39" x14ac:dyDescent="0.25">
      <c r="A72" s="6">
        <v>55</v>
      </c>
      <c r="B72" s="6" t="s">
        <v>7</v>
      </c>
      <c r="C72" s="6" t="s">
        <v>11</v>
      </c>
      <c r="D72" s="6" t="s">
        <v>67</v>
      </c>
      <c r="E72" s="6">
        <v>3</v>
      </c>
      <c r="H72">
        <v>67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5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</row>
    <row r="73" spans="1:39" x14ac:dyDescent="0.25">
      <c r="A73" s="6">
        <v>56</v>
      </c>
      <c r="B73" s="6" t="s">
        <v>39</v>
      </c>
      <c r="C73" s="6" t="s">
        <v>14</v>
      </c>
      <c r="D73" s="6" t="s">
        <v>16</v>
      </c>
      <c r="E73" s="6">
        <v>1</v>
      </c>
      <c r="H73">
        <v>68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7</v>
      </c>
      <c r="R73">
        <v>0</v>
      </c>
      <c r="S73">
        <v>0</v>
      </c>
      <c r="T73">
        <v>0</v>
      </c>
      <c r="U73">
        <v>0</v>
      </c>
      <c r="V73">
        <v>0</v>
      </c>
      <c r="W73">
        <v>1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</row>
    <row r="74" spans="1:39" x14ac:dyDescent="0.25">
      <c r="A74" s="6">
        <v>57</v>
      </c>
      <c r="B74" s="6" t="s">
        <v>7</v>
      </c>
      <c r="C74" s="6" t="s">
        <v>12</v>
      </c>
      <c r="D74" s="6" t="s">
        <v>13</v>
      </c>
      <c r="E74" s="6">
        <v>1</v>
      </c>
      <c r="H74">
        <v>69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1</v>
      </c>
      <c r="R74">
        <v>0</v>
      </c>
      <c r="S74">
        <v>3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2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0</v>
      </c>
      <c r="AK74">
        <v>0</v>
      </c>
      <c r="AL74">
        <v>0</v>
      </c>
      <c r="AM74">
        <v>0</v>
      </c>
    </row>
    <row r="75" spans="1:39" x14ac:dyDescent="0.25">
      <c r="A75" s="6">
        <v>58</v>
      </c>
      <c r="B75" s="6" t="s">
        <v>7</v>
      </c>
      <c r="C75" s="6" t="s">
        <v>17</v>
      </c>
      <c r="D75" s="6" t="s">
        <v>23</v>
      </c>
      <c r="E75" s="6">
        <v>1</v>
      </c>
      <c r="H75">
        <v>70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7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3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</row>
    <row r="76" spans="1:39" x14ac:dyDescent="0.25">
      <c r="A76" s="6">
        <v>59</v>
      </c>
      <c r="B76" s="6" t="s">
        <v>7</v>
      </c>
      <c r="C76" s="6" t="s">
        <v>11</v>
      </c>
      <c r="D76" s="6" t="s">
        <v>67</v>
      </c>
      <c r="E76" s="6">
        <v>6</v>
      </c>
      <c r="H76">
        <v>71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4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1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</row>
    <row r="77" spans="1:39" x14ac:dyDescent="0.25">
      <c r="A77" s="6">
        <v>60</v>
      </c>
      <c r="B77" s="6">
        <v>0</v>
      </c>
      <c r="C77" s="6"/>
      <c r="D77" s="6"/>
      <c r="E77" s="6"/>
      <c r="H77">
        <v>72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8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1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</row>
    <row r="78" spans="1:39" x14ac:dyDescent="0.25">
      <c r="A78" s="6">
        <v>61</v>
      </c>
      <c r="B78" s="6" t="s">
        <v>22</v>
      </c>
      <c r="C78" s="6" t="s">
        <v>21</v>
      </c>
      <c r="D78" s="6" t="s">
        <v>9</v>
      </c>
      <c r="E78" s="6">
        <v>1</v>
      </c>
      <c r="H78">
        <v>73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5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7</v>
      </c>
      <c r="AC78">
        <v>0</v>
      </c>
      <c r="AD78">
        <v>1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</row>
    <row r="79" spans="1:39" x14ac:dyDescent="0.25">
      <c r="A79" s="6">
        <v>62</v>
      </c>
      <c r="B79" s="6">
        <v>0</v>
      </c>
      <c r="C79" s="6"/>
      <c r="D79" s="6"/>
      <c r="E79" s="6"/>
      <c r="H79">
        <v>74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6</v>
      </c>
      <c r="T79">
        <v>14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</row>
    <row r="80" spans="1:39" x14ac:dyDescent="0.25">
      <c r="A80" s="6">
        <v>63</v>
      </c>
      <c r="B80" s="6">
        <v>0</v>
      </c>
      <c r="C80" s="6"/>
      <c r="D80" s="6"/>
      <c r="E80" s="6"/>
      <c r="H80">
        <v>75</v>
      </c>
      <c r="I80">
        <v>0</v>
      </c>
      <c r="J80">
        <v>0</v>
      </c>
      <c r="K80">
        <v>3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16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>
        <v>0</v>
      </c>
      <c r="AG80">
        <v>0</v>
      </c>
      <c r="AH80">
        <v>0</v>
      </c>
      <c r="AI80">
        <v>2</v>
      </c>
      <c r="AJ80">
        <v>0</v>
      </c>
      <c r="AK80">
        <v>0</v>
      </c>
      <c r="AL80">
        <v>0</v>
      </c>
      <c r="AM80">
        <v>0</v>
      </c>
    </row>
    <row r="81" spans="1:40" x14ac:dyDescent="0.25">
      <c r="A81" s="6">
        <v>64</v>
      </c>
      <c r="B81" s="6" t="s">
        <v>28</v>
      </c>
      <c r="C81" s="6" t="s">
        <v>8</v>
      </c>
      <c r="D81" s="6" t="s">
        <v>30</v>
      </c>
      <c r="E81" s="6">
        <v>2</v>
      </c>
      <c r="H81">
        <v>76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8</v>
      </c>
      <c r="AE81">
        <v>0</v>
      </c>
      <c r="AF81">
        <v>0</v>
      </c>
      <c r="AG81">
        <v>0</v>
      </c>
      <c r="AH81">
        <v>3</v>
      </c>
      <c r="AI81">
        <v>0</v>
      </c>
      <c r="AJ81">
        <v>0</v>
      </c>
      <c r="AK81">
        <v>0</v>
      </c>
      <c r="AL81">
        <v>0</v>
      </c>
      <c r="AM81">
        <v>0</v>
      </c>
    </row>
    <row r="82" spans="1:40" x14ac:dyDescent="0.25">
      <c r="A82" s="6">
        <v>65</v>
      </c>
      <c r="B82" s="6" t="s">
        <v>7</v>
      </c>
      <c r="C82" s="6" t="s">
        <v>12</v>
      </c>
      <c r="D82" s="6" t="s">
        <v>13</v>
      </c>
      <c r="E82" s="6">
        <v>3</v>
      </c>
      <c r="H82">
        <v>77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1</v>
      </c>
      <c r="Q82">
        <v>2</v>
      </c>
      <c r="R82">
        <v>0</v>
      </c>
      <c r="S82">
        <v>11</v>
      </c>
      <c r="T82">
        <v>3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2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1</v>
      </c>
    </row>
    <row r="83" spans="1:40" x14ac:dyDescent="0.25">
      <c r="A83" s="6"/>
      <c r="B83" s="6" t="s">
        <v>7</v>
      </c>
      <c r="C83" s="6" t="s">
        <v>8</v>
      </c>
      <c r="D83" s="6" t="s">
        <v>18</v>
      </c>
      <c r="E83" s="6">
        <v>2</v>
      </c>
      <c r="H83">
        <v>78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7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2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1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6</v>
      </c>
    </row>
    <row r="84" spans="1:40" x14ac:dyDescent="0.25">
      <c r="A84" s="6">
        <v>66</v>
      </c>
      <c r="B84" s="6" t="s">
        <v>7</v>
      </c>
      <c r="C84" s="6" t="s">
        <v>8</v>
      </c>
      <c r="D84" s="6" t="s">
        <v>37</v>
      </c>
      <c r="E84" s="6">
        <v>2</v>
      </c>
      <c r="H84">
        <v>79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8</v>
      </c>
      <c r="T84">
        <v>0</v>
      </c>
      <c r="U84">
        <v>0</v>
      </c>
      <c r="V84">
        <v>1</v>
      </c>
      <c r="W84">
        <v>1</v>
      </c>
      <c r="X84">
        <v>0</v>
      </c>
      <c r="Y84">
        <v>0</v>
      </c>
      <c r="Z84">
        <v>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0</v>
      </c>
      <c r="AK84">
        <v>0</v>
      </c>
      <c r="AL84">
        <v>0</v>
      </c>
      <c r="AM84">
        <v>3</v>
      </c>
    </row>
    <row r="85" spans="1:40" x14ac:dyDescent="0.25">
      <c r="A85" s="6"/>
      <c r="B85" s="6" t="s">
        <v>7</v>
      </c>
      <c r="C85" s="6" t="s">
        <v>14</v>
      </c>
      <c r="D85" s="6" t="s">
        <v>31</v>
      </c>
      <c r="E85" s="6">
        <v>2</v>
      </c>
      <c r="H85">
        <v>80</v>
      </c>
      <c r="I85">
        <v>0</v>
      </c>
      <c r="J85">
        <v>0</v>
      </c>
      <c r="K85">
        <v>0</v>
      </c>
      <c r="L85">
        <v>3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5</v>
      </c>
      <c r="U85">
        <v>0</v>
      </c>
      <c r="V85">
        <v>0</v>
      </c>
      <c r="W85">
        <v>3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7</v>
      </c>
    </row>
    <row r="86" spans="1:40" x14ac:dyDescent="0.25">
      <c r="A86" s="6">
        <v>67</v>
      </c>
      <c r="B86" s="6" t="s">
        <v>7</v>
      </c>
      <c r="C86" s="6" t="s">
        <v>8</v>
      </c>
      <c r="D86" s="6" t="s">
        <v>37</v>
      </c>
      <c r="E86" s="6">
        <v>5</v>
      </c>
      <c r="I86">
        <f>SUM(I6:I85)</f>
        <v>1</v>
      </c>
      <c r="J86">
        <f t="shared" ref="J86:AM86" si="0">SUM(J6:J85)</f>
        <v>0</v>
      </c>
      <c r="K86">
        <f t="shared" si="0"/>
        <v>3</v>
      </c>
      <c r="L86">
        <f t="shared" si="0"/>
        <v>3</v>
      </c>
      <c r="M86">
        <f t="shared" si="0"/>
        <v>0</v>
      </c>
      <c r="N86">
        <f t="shared" si="0"/>
        <v>0</v>
      </c>
      <c r="O86">
        <f t="shared" si="0"/>
        <v>2</v>
      </c>
      <c r="P86">
        <f t="shared" si="0"/>
        <v>5</v>
      </c>
      <c r="Q86">
        <f t="shared" si="0"/>
        <v>36</v>
      </c>
      <c r="R86">
        <f t="shared" si="0"/>
        <v>2</v>
      </c>
      <c r="S86">
        <f t="shared" si="0"/>
        <v>97</v>
      </c>
      <c r="T86">
        <f t="shared" si="0"/>
        <v>59</v>
      </c>
      <c r="U86">
        <f t="shared" si="0"/>
        <v>13</v>
      </c>
      <c r="V86">
        <f t="shared" si="0"/>
        <v>2</v>
      </c>
      <c r="W86">
        <f t="shared" si="0"/>
        <v>5</v>
      </c>
      <c r="X86">
        <f t="shared" si="0"/>
        <v>1</v>
      </c>
      <c r="Y86">
        <f t="shared" si="0"/>
        <v>2</v>
      </c>
      <c r="Z86">
        <f t="shared" si="0"/>
        <v>4</v>
      </c>
      <c r="AA86">
        <f t="shared" si="0"/>
        <v>1</v>
      </c>
      <c r="AB86">
        <f t="shared" si="0"/>
        <v>13</v>
      </c>
      <c r="AC86">
        <f t="shared" si="0"/>
        <v>3</v>
      </c>
      <c r="AD86">
        <f t="shared" si="0"/>
        <v>34</v>
      </c>
      <c r="AE86">
        <f t="shared" si="0"/>
        <v>4</v>
      </c>
      <c r="AF86">
        <f t="shared" si="0"/>
        <v>0</v>
      </c>
      <c r="AG86">
        <f t="shared" si="0"/>
        <v>1</v>
      </c>
      <c r="AH86">
        <f t="shared" si="0"/>
        <v>3</v>
      </c>
      <c r="AI86">
        <f t="shared" si="0"/>
        <v>4</v>
      </c>
      <c r="AJ86">
        <f t="shared" si="0"/>
        <v>0</v>
      </c>
      <c r="AK86">
        <f t="shared" si="0"/>
        <v>0</v>
      </c>
      <c r="AL86">
        <f t="shared" si="0"/>
        <v>0</v>
      </c>
      <c r="AM86">
        <f t="shared" si="0"/>
        <v>27</v>
      </c>
      <c r="AN86">
        <f>SUM(I86:AM86)</f>
        <v>325</v>
      </c>
    </row>
    <row r="87" spans="1:40" x14ac:dyDescent="0.25">
      <c r="A87" s="6"/>
      <c r="B87" s="6" t="s">
        <v>39</v>
      </c>
      <c r="C87" s="6" t="s">
        <v>12</v>
      </c>
      <c r="D87" s="6" t="s">
        <v>13</v>
      </c>
      <c r="E87" s="6">
        <v>1</v>
      </c>
    </row>
    <row r="88" spans="1:40" x14ac:dyDescent="0.25">
      <c r="A88" s="6">
        <v>68</v>
      </c>
      <c r="B88" s="6" t="s">
        <v>39</v>
      </c>
      <c r="C88" s="6" t="s">
        <v>10</v>
      </c>
      <c r="D88" s="6" t="s">
        <v>23</v>
      </c>
      <c r="E88" s="6">
        <v>1</v>
      </c>
    </row>
    <row r="89" spans="1:40" x14ac:dyDescent="0.25">
      <c r="A89" s="6"/>
      <c r="B89" s="6" t="s">
        <v>7</v>
      </c>
      <c r="C89" s="6" t="s">
        <v>10</v>
      </c>
      <c r="D89" s="6" t="s">
        <v>37</v>
      </c>
      <c r="E89" s="6">
        <v>7</v>
      </c>
    </row>
    <row r="90" spans="1:40" x14ac:dyDescent="0.25">
      <c r="A90" s="6">
        <v>69</v>
      </c>
      <c r="B90" s="6" t="s">
        <v>7</v>
      </c>
      <c r="C90" s="6" t="s">
        <v>8</v>
      </c>
      <c r="D90" s="6" t="s">
        <v>37</v>
      </c>
      <c r="E90" s="6">
        <v>1</v>
      </c>
    </row>
    <row r="91" spans="1:40" ht="15.75" x14ac:dyDescent="0.25">
      <c r="A91" s="6"/>
      <c r="B91" s="6" t="s">
        <v>22</v>
      </c>
      <c r="C91" s="6" t="s">
        <v>25</v>
      </c>
      <c r="D91" s="6" t="s">
        <v>69</v>
      </c>
      <c r="E91" s="6">
        <v>1</v>
      </c>
      <c r="I91" s="2"/>
      <c r="J91" s="11" t="s">
        <v>6</v>
      </c>
      <c r="K91" s="11" t="s">
        <v>88</v>
      </c>
      <c r="L91" s="11" t="s">
        <v>3</v>
      </c>
      <c r="M91" s="11" t="s">
        <v>65</v>
      </c>
      <c r="N91" s="11" t="s">
        <v>66</v>
      </c>
      <c r="R91" t="s">
        <v>6</v>
      </c>
      <c r="S91" t="s">
        <v>137</v>
      </c>
      <c r="U91" t="s">
        <v>6</v>
      </c>
      <c r="V91" t="s">
        <v>138</v>
      </c>
    </row>
    <row r="92" spans="1:40" ht="15.75" x14ac:dyDescent="0.25">
      <c r="A92" s="6"/>
      <c r="B92" s="6" t="s">
        <v>7</v>
      </c>
      <c r="C92" s="6" t="s">
        <v>14</v>
      </c>
      <c r="D92" s="6" t="s">
        <v>31</v>
      </c>
      <c r="E92" s="6">
        <v>2</v>
      </c>
      <c r="I92" s="2">
        <v>1</v>
      </c>
      <c r="J92" s="14" t="s">
        <v>22</v>
      </c>
      <c r="K92" s="14" t="s">
        <v>89</v>
      </c>
      <c r="L92" s="14" t="s">
        <v>21</v>
      </c>
      <c r="M92" s="14" t="s">
        <v>9</v>
      </c>
      <c r="N92" s="1">
        <f>SUM(E78)</f>
        <v>1</v>
      </c>
      <c r="R92" t="s">
        <v>22</v>
      </c>
      <c r="S92">
        <v>2</v>
      </c>
      <c r="U92" t="s">
        <v>22</v>
      </c>
      <c r="V92">
        <v>5</v>
      </c>
    </row>
    <row r="93" spans="1:40" ht="15.75" x14ac:dyDescent="0.25">
      <c r="A93" s="6"/>
      <c r="B93" s="6" t="s">
        <v>7</v>
      </c>
      <c r="C93" s="6" t="s">
        <v>10</v>
      </c>
      <c r="D93" s="6" t="s">
        <v>18</v>
      </c>
      <c r="E93" s="6">
        <v>3</v>
      </c>
      <c r="I93" s="2">
        <v>2</v>
      </c>
      <c r="J93" s="1"/>
      <c r="K93" s="1" t="s">
        <v>95</v>
      </c>
      <c r="L93" s="1" t="s">
        <v>25</v>
      </c>
      <c r="M93" s="1" t="s">
        <v>69</v>
      </c>
      <c r="N93" s="1">
        <f>SUM(E126,E91,E108)</f>
        <v>4</v>
      </c>
      <c r="R93" t="s">
        <v>19</v>
      </c>
      <c r="S93">
        <v>5</v>
      </c>
      <c r="U93" t="s">
        <v>19</v>
      </c>
      <c r="V93">
        <f>SUM(N111:N115)</f>
        <v>38</v>
      </c>
    </row>
    <row r="94" spans="1:40" ht="15.75" x14ac:dyDescent="0.25">
      <c r="A94" s="6">
        <v>70</v>
      </c>
      <c r="B94" s="6" t="s">
        <v>7</v>
      </c>
      <c r="C94" s="6" t="s">
        <v>36</v>
      </c>
      <c r="D94" s="6"/>
      <c r="E94" s="6">
        <v>3</v>
      </c>
      <c r="I94" s="2">
        <v>3</v>
      </c>
      <c r="J94" s="14" t="s">
        <v>7</v>
      </c>
      <c r="K94" s="14" t="s">
        <v>91</v>
      </c>
      <c r="L94" s="1" t="s">
        <v>8</v>
      </c>
      <c r="M94" s="1" t="s">
        <v>37</v>
      </c>
      <c r="N94" s="1">
        <f>SUM(E84,E58,E86,E89,E90,E95,E96,E114,E119)</f>
        <v>36</v>
      </c>
      <c r="R94" t="s">
        <v>7</v>
      </c>
      <c r="S94">
        <v>15</v>
      </c>
      <c r="U94" t="s">
        <v>7</v>
      </c>
      <c r="V94">
        <f>SUM(N94:N108)</f>
        <v>220</v>
      </c>
    </row>
    <row r="95" spans="1:40" ht="15.75" x14ac:dyDescent="0.25">
      <c r="A95" s="6"/>
      <c r="B95" s="6" t="s">
        <v>7</v>
      </c>
      <c r="C95" s="6" t="s">
        <v>10</v>
      </c>
      <c r="D95" s="6" t="s">
        <v>37</v>
      </c>
      <c r="E95" s="6">
        <v>7</v>
      </c>
      <c r="I95" s="2">
        <v>4</v>
      </c>
      <c r="J95" s="1"/>
      <c r="K95" s="14" t="s">
        <v>91</v>
      </c>
      <c r="L95" s="1" t="s">
        <v>8</v>
      </c>
      <c r="M95" s="1" t="s">
        <v>34</v>
      </c>
      <c r="N95" s="1">
        <f>SUM(E38,E51)</f>
        <v>2</v>
      </c>
      <c r="R95" t="s">
        <v>28</v>
      </c>
      <c r="S95">
        <v>2</v>
      </c>
      <c r="U95" t="s">
        <v>28</v>
      </c>
      <c r="V95">
        <f>SUM(N109:N110)</f>
        <v>62</v>
      </c>
    </row>
    <row r="96" spans="1:40" ht="15.75" x14ac:dyDescent="0.25">
      <c r="A96" s="6">
        <v>71</v>
      </c>
      <c r="B96" s="6" t="s">
        <v>7</v>
      </c>
      <c r="C96" s="6" t="s">
        <v>8</v>
      </c>
      <c r="D96" s="6" t="s">
        <v>37</v>
      </c>
      <c r="E96" s="6">
        <v>4</v>
      </c>
      <c r="I96" s="2">
        <v>5</v>
      </c>
      <c r="J96" s="1"/>
      <c r="K96" s="14" t="s">
        <v>91</v>
      </c>
      <c r="L96" s="1" t="s">
        <v>8</v>
      </c>
      <c r="M96" s="1" t="s">
        <v>18</v>
      </c>
      <c r="N96" s="1">
        <f>SUM(E10,E31,E47,E54,E55,E59,E61,E64,E70,E83,E93,E98,E103,E107,E112,E122)</f>
        <v>97</v>
      </c>
      <c r="V96">
        <f>SUM(V92:V95)</f>
        <v>325</v>
      </c>
    </row>
    <row r="97" spans="1:14" ht="15.75" x14ac:dyDescent="0.25">
      <c r="A97" s="6"/>
      <c r="B97" s="6" t="s">
        <v>7</v>
      </c>
      <c r="C97" s="6" t="s">
        <v>14</v>
      </c>
      <c r="D97" s="6" t="s">
        <v>31</v>
      </c>
      <c r="E97" s="6">
        <v>1</v>
      </c>
      <c r="I97" s="2">
        <v>6</v>
      </c>
      <c r="J97" s="1"/>
      <c r="K97" s="14" t="s">
        <v>91</v>
      </c>
      <c r="L97" s="1" t="s">
        <v>8</v>
      </c>
      <c r="M97" s="14" t="s">
        <v>9</v>
      </c>
      <c r="N97" s="1">
        <f>SUM(E6,E11,E33,E35)</f>
        <v>13</v>
      </c>
    </row>
    <row r="98" spans="1:14" ht="15.75" x14ac:dyDescent="0.25">
      <c r="A98" s="6">
        <v>72</v>
      </c>
      <c r="B98" s="6" t="s">
        <v>7</v>
      </c>
      <c r="C98" s="6" t="s">
        <v>8</v>
      </c>
      <c r="D98" s="6" t="s">
        <v>18</v>
      </c>
      <c r="E98" s="6">
        <v>8</v>
      </c>
      <c r="I98" s="2">
        <v>7</v>
      </c>
      <c r="J98" s="1"/>
      <c r="K98" s="14" t="s">
        <v>91</v>
      </c>
      <c r="L98" s="1" t="s">
        <v>8</v>
      </c>
      <c r="M98" s="14" t="s">
        <v>16</v>
      </c>
      <c r="N98" s="1">
        <f>SUM(E7,E124)</f>
        <v>2</v>
      </c>
    </row>
    <row r="99" spans="1:14" ht="15.75" x14ac:dyDescent="0.25">
      <c r="A99" s="6"/>
      <c r="B99" s="6" t="s">
        <v>7</v>
      </c>
      <c r="C99" s="6" t="s">
        <v>14</v>
      </c>
      <c r="D99" s="6" t="s">
        <v>31</v>
      </c>
      <c r="E99" s="6">
        <v>1</v>
      </c>
      <c r="I99" s="2">
        <v>8</v>
      </c>
      <c r="J99" s="1"/>
      <c r="K99" s="14" t="s">
        <v>91</v>
      </c>
      <c r="L99" s="1" t="s">
        <v>8</v>
      </c>
      <c r="M99" s="14" t="s">
        <v>23</v>
      </c>
      <c r="N99" s="1">
        <f>SUM(E123,E129,E88)</f>
        <v>5</v>
      </c>
    </row>
    <row r="100" spans="1:14" ht="15.75" x14ac:dyDescent="0.25">
      <c r="A100" s="6">
        <v>73</v>
      </c>
      <c r="B100" s="6" t="s">
        <v>7</v>
      </c>
      <c r="C100" s="6" t="s">
        <v>38</v>
      </c>
      <c r="D100" s="6" t="s">
        <v>13</v>
      </c>
      <c r="E100" s="6">
        <v>1</v>
      </c>
      <c r="I100" s="2">
        <v>9</v>
      </c>
      <c r="J100" s="1"/>
      <c r="K100" s="14" t="s">
        <v>91</v>
      </c>
      <c r="L100" s="1" t="s">
        <v>8</v>
      </c>
      <c r="M100" s="14" t="s">
        <v>31</v>
      </c>
      <c r="N100" s="1">
        <f>SUM(E88)</f>
        <v>1</v>
      </c>
    </row>
    <row r="101" spans="1:14" ht="15.75" x14ac:dyDescent="0.25">
      <c r="A101" s="6"/>
      <c r="B101" s="6" t="s">
        <v>28</v>
      </c>
      <c r="C101" s="6" t="s">
        <v>8</v>
      </c>
      <c r="D101" s="6" t="s">
        <v>30</v>
      </c>
      <c r="E101" s="6">
        <v>5</v>
      </c>
      <c r="I101" s="2">
        <v>10</v>
      </c>
      <c r="J101" s="1"/>
      <c r="K101" s="14" t="s">
        <v>91</v>
      </c>
      <c r="L101" s="1" t="s">
        <v>14</v>
      </c>
      <c r="M101" s="14" t="s">
        <v>9</v>
      </c>
      <c r="N101" s="1">
        <f>SUM(E15)</f>
        <v>2</v>
      </c>
    </row>
    <row r="102" spans="1:14" ht="15.75" x14ac:dyDescent="0.25">
      <c r="A102" s="6"/>
      <c r="B102" s="6" t="s">
        <v>7</v>
      </c>
      <c r="C102" s="6" t="s">
        <v>14</v>
      </c>
      <c r="D102" s="6" t="s">
        <v>31</v>
      </c>
      <c r="E102" s="6">
        <v>7</v>
      </c>
      <c r="I102" s="2">
        <v>11</v>
      </c>
      <c r="J102" s="1"/>
      <c r="K102" s="14" t="s">
        <v>91</v>
      </c>
      <c r="L102" s="1" t="s">
        <v>14</v>
      </c>
      <c r="M102" s="14" t="s">
        <v>16</v>
      </c>
      <c r="N102" s="1">
        <f>SUM(E73,E125,E120)</f>
        <v>4</v>
      </c>
    </row>
    <row r="103" spans="1:14" ht="15.75" x14ac:dyDescent="0.25">
      <c r="A103" s="6">
        <v>74</v>
      </c>
      <c r="B103" s="6" t="s">
        <v>7</v>
      </c>
      <c r="C103" s="6" t="s">
        <v>8</v>
      </c>
      <c r="D103" s="6" t="s">
        <v>18</v>
      </c>
      <c r="E103" s="6">
        <v>6</v>
      </c>
      <c r="I103" s="2">
        <v>12</v>
      </c>
      <c r="J103" s="1"/>
      <c r="K103" s="14" t="s">
        <v>91</v>
      </c>
      <c r="L103" s="1" t="s">
        <v>14</v>
      </c>
      <c r="M103" s="14" t="s">
        <v>23</v>
      </c>
      <c r="N103" s="1">
        <f>SUM(E75)</f>
        <v>1</v>
      </c>
    </row>
    <row r="104" spans="1:14" ht="15.75" x14ac:dyDescent="0.25">
      <c r="A104" s="6"/>
      <c r="B104" s="6" t="s">
        <v>7</v>
      </c>
      <c r="C104" s="6" t="s">
        <v>38</v>
      </c>
      <c r="D104" s="6" t="s">
        <v>13</v>
      </c>
      <c r="E104" s="6">
        <v>1</v>
      </c>
      <c r="I104" s="2">
        <v>13</v>
      </c>
      <c r="J104" s="1"/>
      <c r="K104" s="14" t="s">
        <v>91</v>
      </c>
      <c r="L104" s="1" t="s">
        <v>14</v>
      </c>
      <c r="M104" s="14" t="s">
        <v>31</v>
      </c>
      <c r="N104" s="1">
        <f>SUM(E92,E85,E97,E99,E102)</f>
        <v>13</v>
      </c>
    </row>
    <row r="105" spans="1:14" ht="15.75" x14ac:dyDescent="0.25">
      <c r="A105" s="6"/>
      <c r="B105" s="6" t="s">
        <v>28</v>
      </c>
      <c r="C105" s="6" t="s">
        <v>10</v>
      </c>
      <c r="D105" s="6" t="s">
        <v>30</v>
      </c>
      <c r="E105" s="6">
        <v>14</v>
      </c>
      <c r="I105" s="2">
        <v>14</v>
      </c>
      <c r="J105" s="1"/>
      <c r="K105" s="14" t="s">
        <v>91</v>
      </c>
      <c r="L105" s="1" t="s">
        <v>12</v>
      </c>
      <c r="M105" s="1" t="s">
        <v>55</v>
      </c>
      <c r="N105" s="1">
        <v>3</v>
      </c>
    </row>
    <row r="106" spans="1:14" ht="15.75" x14ac:dyDescent="0.25">
      <c r="A106" s="6">
        <v>75</v>
      </c>
      <c r="B106" s="6" t="s">
        <v>7</v>
      </c>
      <c r="C106" s="6" t="s">
        <v>12</v>
      </c>
      <c r="D106" s="6" t="s">
        <v>13</v>
      </c>
      <c r="E106" s="6">
        <v>1</v>
      </c>
      <c r="I106" s="2">
        <v>15</v>
      </c>
      <c r="J106" s="1"/>
      <c r="K106" s="14" t="s">
        <v>91</v>
      </c>
      <c r="L106" s="1" t="s">
        <v>12</v>
      </c>
      <c r="M106" s="1" t="s">
        <v>13</v>
      </c>
      <c r="N106" s="1">
        <f>SUM(E14,E23,E45,E50,E53,E60,E62,E74,E82,E87,E100,E104,E106,E110,E113)</f>
        <v>34</v>
      </c>
    </row>
    <row r="107" spans="1:14" ht="15.75" x14ac:dyDescent="0.25">
      <c r="A107" s="6"/>
      <c r="B107" s="6" t="s">
        <v>7</v>
      </c>
      <c r="C107" s="6" t="s">
        <v>8</v>
      </c>
      <c r="D107" s="6" t="s">
        <v>18</v>
      </c>
      <c r="E107" s="6">
        <v>16</v>
      </c>
      <c r="I107" s="2">
        <v>16</v>
      </c>
      <c r="J107" s="1"/>
      <c r="K107" s="14" t="s">
        <v>91</v>
      </c>
      <c r="L107" s="1" t="s">
        <v>36</v>
      </c>
      <c r="M107" s="14" t="s">
        <v>67</v>
      </c>
      <c r="N107" s="1">
        <f>SUM(E25,E94)</f>
        <v>4</v>
      </c>
    </row>
    <row r="108" spans="1:14" ht="15.75" x14ac:dyDescent="0.25">
      <c r="A108" s="6"/>
      <c r="B108" s="6" t="s">
        <v>22</v>
      </c>
      <c r="C108" s="6" t="s">
        <v>25</v>
      </c>
      <c r="D108" s="6" t="s">
        <v>69</v>
      </c>
      <c r="E108" s="6">
        <v>2</v>
      </c>
      <c r="I108" s="2">
        <v>17</v>
      </c>
      <c r="J108" s="1" t="s">
        <v>7</v>
      </c>
      <c r="K108" s="1" t="s">
        <v>94</v>
      </c>
      <c r="L108" s="1" t="s">
        <v>57</v>
      </c>
      <c r="M108" s="1" t="s">
        <v>58</v>
      </c>
      <c r="N108" s="1">
        <v>3</v>
      </c>
    </row>
    <row r="109" spans="1:14" ht="15.75" x14ac:dyDescent="0.25">
      <c r="A109" s="6"/>
      <c r="B109" s="6" t="s">
        <v>19</v>
      </c>
      <c r="C109" s="6" t="s">
        <v>21</v>
      </c>
      <c r="D109" s="1" t="s">
        <v>64</v>
      </c>
      <c r="E109" s="6">
        <v>3</v>
      </c>
      <c r="I109" s="2">
        <v>18</v>
      </c>
      <c r="J109" s="1" t="s">
        <v>28</v>
      </c>
      <c r="K109" s="1" t="s">
        <v>89</v>
      </c>
      <c r="L109" s="1" t="s">
        <v>26</v>
      </c>
      <c r="M109" s="1" t="s">
        <v>9</v>
      </c>
      <c r="N109" s="1">
        <f>SUM(E131)</f>
        <v>3</v>
      </c>
    </row>
    <row r="110" spans="1:14" ht="15.75" x14ac:dyDescent="0.25">
      <c r="A110" s="6">
        <v>76</v>
      </c>
      <c r="B110" s="6" t="s">
        <v>7</v>
      </c>
      <c r="C110" s="6" t="s">
        <v>12</v>
      </c>
      <c r="D110" s="6" t="s">
        <v>13</v>
      </c>
      <c r="E110" s="6">
        <v>8</v>
      </c>
      <c r="I110" s="2">
        <v>19</v>
      </c>
      <c r="J110" s="1"/>
      <c r="K110" s="1" t="s">
        <v>91</v>
      </c>
      <c r="L110" s="1" t="s">
        <v>8</v>
      </c>
      <c r="M110" s="1" t="s">
        <v>30</v>
      </c>
      <c r="N110" s="1">
        <f>SUM(E36,E37,E46,E52,E63,E65,E81,E101,E105,E116,E130)</f>
        <v>59</v>
      </c>
    </row>
    <row r="111" spans="1:14" ht="15.75" x14ac:dyDescent="0.25">
      <c r="A111" s="6"/>
      <c r="B111" s="6" t="s">
        <v>7</v>
      </c>
      <c r="C111" s="6" t="s">
        <v>57</v>
      </c>
      <c r="D111" s="6" t="s">
        <v>58</v>
      </c>
      <c r="E111" s="6">
        <v>3</v>
      </c>
      <c r="I111" s="2">
        <v>20</v>
      </c>
      <c r="J111" s="14" t="s">
        <v>19</v>
      </c>
      <c r="K111" s="14" t="s">
        <v>89</v>
      </c>
      <c r="L111" s="14" t="s">
        <v>21</v>
      </c>
      <c r="M111" s="1" t="s">
        <v>64</v>
      </c>
      <c r="N111" s="1">
        <f>SUM(E109)</f>
        <v>3</v>
      </c>
    </row>
    <row r="112" spans="1:14" ht="15.75" x14ac:dyDescent="0.25">
      <c r="A112" s="6">
        <v>77</v>
      </c>
      <c r="B112" s="6" t="s">
        <v>7</v>
      </c>
      <c r="C112" s="6" t="s">
        <v>10</v>
      </c>
      <c r="D112" s="6" t="s">
        <v>18</v>
      </c>
      <c r="E112" s="6">
        <v>11</v>
      </c>
      <c r="I112" s="2">
        <v>21</v>
      </c>
      <c r="J112" s="1"/>
      <c r="K112" s="1" t="s">
        <v>91</v>
      </c>
      <c r="L112" s="1" t="s">
        <v>20</v>
      </c>
      <c r="M112" s="14" t="s">
        <v>9</v>
      </c>
      <c r="N112" s="1">
        <f>SUM(E117)</f>
        <v>1</v>
      </c>
    </row>
    <row r="113" spans="1:14" ht="15.75" x14ac:dyDescent="0.25">
      <c r="A113" s="6"/>
      <c r="B113" s="6" t="s">
        <v>7</v>
      </c>
      <c r="C113" s="6" t="s">
        <v>12</v>
      </c>
      <c r="D113" s="6" t="s">
        <v>13</v>
      </c>
      <c r="E113" s="6">
        <v>2</v>
      </c>
      <c r="I113" s="2">
        <v>22</v>
      </c>
      <c r="J113" s="1"/>
      <c r="K113" s="14" t="s">
        <v>91</v>
      </c>
      <c r="L113" s="1" t="s">
        <v>20</v>
      </c>
      <c r="M113" s="14" t="s">
        <v>16</v>
      </c>
      <c r="N113" s="1">
        <f>SUM(E34,E117)</f>
        <v>5</v>
      </c>
    </row>
    <row r="114" spans="1:14" ht="15.75" x14ac:dyDescent="0.25">
      <c r="A114" s="6"/>
      <c r="B114" s="6" t="s">
        <v>7</v>
      </c>
      <c r="C114" s="6" t="s">
        <v>10</v>
      </c>
      <c r="D114" s="6" t="s">
        <v>37</v>
      </c>
      <c r="E114" s="6">
        <v>2</v>
      </c>
      <c r="I114" s="2">
        <v>23</v>
      </c>
      <c r="J114" s="1"/>
      <c r="K114" s="1" t="s">
        <v>92</v>
      </c>
      <c r="L114" s="1" t="s">
        <v>59</v>
      </c>
      <c r="M114" s="1" t="s">
        <v>67</v>
      </c>
      <c r="N114" s="1">
        <v>1</v>
      </c>
    </row>
    <row r="115" spans="1:14" ht="15.75" x14ac:dyDescent="0.25">
      <c r="A115" s="6"/>
      <c r="B115" s="6" t="s">
        <v>19</v>
      </c>
      <c r="C115" s="6" t="s">
        <v>11</v>
      </c>
      <c r="D115" s="6" t="s">
        <v>67</v>
      </c>
      <c r="E115" s="6">
        <v>2</v>
      </c>
      <c r="I115" s="2">
        <v>24</v>
      </c>
      <c r="J115" s="86"/>
      <c r="K115" s="86" t="s">
        <v>93</v>
      </c>
      <c r="L115" s="86" t="s">
        <v>11</v>
      </c>
      <c r="M115" s="86" t="s">
        <v>67</v>
      </c>
      <c r="N115" s="86">
        <f>SUM(E128,E127,E118,E115,E76,E72,E21)</f>
        <v>28</v>
      </c>
    </row>
    <row r="116" spans="1:14" ht="15.75" x14ac:dyDescent="0.25">
      <c r="A116" s="6"/>
      <c r="B116" s="6" t="s">
        <v>28</v>
      </c>
      <c r="C116" s="6" t="s">
        <v>8</v>
      </c>
      <c r="D116" s="6" t="s">
        <v>30</v>
      </c>
      <c r="E116" s="6">
        <v>3</v>
      </c>
      <c r="I116" s="2"/>
      <c r="J116" s="10"/>
      <c r="K116" s="10"/>
      <c r="L116" s="10"/>
      <c r="M116" s="10"/>
      <c r="N116" s="8">
        <f>SUM(N92:N115)</f>
        <v>325</v>
      </c>
    </row>
    <row r="117" spans="1:14" x14ac:dyDescent="0.25">
      <c r="A117" s="6"/>
      <c r="B117" s="6" t="s">
        <v>7</v>
      </c>
      <c r="C117" s="6" t="s">
        <v>20</v>
      </c>
      <c r="D117" s="6" t="s">
        <v>16</v>
      </c>
      <c r="E117" s="6">
        <v>1</v>
      </c>
    </row>
    <row r="118" spans="1:14" x14ac:dyDescent="0.25">
      <c r="A118" s="6">
        <v>78</v>
      </c>
      <c r="B118" s="6" t="s">
        <v>19</v>
      </c>
      <c r="C118" s="6" t="s">
        <v>11</v>
      </c>
      <c r="D118" s="6" t="s">
        <v>67</v>
      </c>
      <c r="E118" s="6">
        <v>6</v>
      </c>
    </row>
    <row r="119" spans="1:14" x14ac:dyDescent="0.25">
      <c r="A119" s="6"/>
      <c r="B119" s="6" t="s">
        <v>7</v>
      </c>
      <c r="C119" s="6" t="s">
        <v>8</v>
      </c>
      <c r="D119" s="6" t="s">
        <v>37</v>
      </c>
      <c r="E119" s="6">
        <v>7</v>
      </c>
    </row>
    <row r="120" spans="1:14" x14ac:dyDescent="0.25">
      <c r="A120" s="6"/>
      <c r="B120" s="6" t="s">
        <v>7</v>
      </c>
      <c r="C120" s="6" t="s">
        <v>14</v>
      </c>
      <c r="D120" s="6" t="s">
        <v>16</v>
      </c>
      <c r="E120" s="6">
        <v>2</v>
      </c>
    </row>
    <row r="121" spans="1:14" x14ac:dyDescent="0.25">
      <c r="A121" s="6"/>
      <c r="B121" s="6" t="s">
        <v>19</v>
      </c>
      <c r="C121" s="6" t="s">
        <v>59</v>
      </c>
      <c r="D121" s="6" t="s">
        <v>67</v>
      </c>
      <c r="E121" s="6">
        <v>1</v>
      </c>
    </row>
    <row r="122" spans="1:14" x14ac:dyDescent="0.25">
      <c r="A122" s="6">
        <v>79</v>
      </c>
      <c r="B122" s="6" t="s">
        <v>7</v>
      </c>
      <c r="C122" s="6" t="s">
        <v>8</v>
      </c>
      <c r="D122" s="6" t="s">
        <v>18</v>
      </c>
      <c r="E122" s="6">
        <v>8</v>
      </c>
    </row>
    <row r="123" spans="1:14" x14ac:dyDescent="0.25">
      <c r="A123" s="6"/>
      <c r="B123" s="6" t="s">
        <v>7</v>
      </c>
      <c r="C123" s="6" t="s">
        <v>8</v>
      </c>
      <c r="D123" s="6" t="s">
        <v>23</v>
      </c>
      <c r="E123" s="6">
        <v>1</v>
      </c>
    </row>
    <row r="124" spans="1:14" x14ac:dyDescent="0.25">
      <c r="A124" s="6"/>
      <c r="B124" s="6"/>
      <c r="C124" s="6" t="s">
        <v>8</v>
      </c>
      <c r="D124" s="6" t="s">
        <v>16</v>
      </c>
      <c r="E124" s="6">
        <v>1</v>
      </c>
    </row>
    <row r="125" spans="1:14" x14ac:dyDescent="0.25">
      <c r="A125" s="6"/>
      <c r="B125" s="6" t="s">
        <v>7</v>
      </c>
      <c r="C125" s="6" t="s">
        <v>17</v>
      </c>
      <c r="D125" s="6" t="s">
        <v>16</v>
      </c>
      <c r="E125" s="6">
        <v>1</v>
      </c>
    </row>
    <row r="126" spans="1:14" x14ac:dyDescent="0.25">
      <c r="A126" s="6"/>
      <c r="B126" s="6" t="s">
        <v>22</v>
      </c>
      <c r="C126" s="6" t="s">
        <v>25</v>
      </c>
      <c r="D126" s="6" t="s">
        <v>69</v>
      </c>
      <c r="E126" s="6">
        <v>1</v>
      </c>
    </row>
    <row r="127" spans="1:14" x14ac:dyDescent="0.25">
      <c r="A127" s="6"/>
      <c r="B127" s="6" t="s">
        <v>19</v>
      </c>
      <c r="C127" s="6" t="s">
        <v>11</v>
      </c>
      <c r="D127" s="6" t="s">
        <v>67</v>
      </c>
      <c r="E127" s="6">
        <v>3</v>
      </c>
    </row>
    <row r="128" spans="1:14" x14ac:dyDescent="0.25">
      <c r="A128" s="6">
        <v>80</v>
      </c>
      <c r="B128" s="6" t="s">
        <v>19</v>
      </c>
      <c r="C128" s="6" t="s">
        <v>11</v>
      </c>
      <c r="D128" s="6" t="s">
        <v>67</v>
      </c>
      <c r="E128" s="6">
        <v>7</v>
      </c>
    </row>
    <row r="129" spans="1:16" x14ac:dyDescent="0.25">
      <c r="A129" s="6"/>
      <c r="B129" s="6" t="s">
        <v>7</v>
      </c>
      <c r="C129" s="6" t="s">
        <v>8</v>
      </c>
      <c r="D129" s="6" t="s">
        <v>23</v>
      </c>
      <c r="E129" s="6">
        <v>3</v>
      </c>
    </row>
    <row r="130" spans="1:16" x14ac:dyDescent="0.25">
      <c r="A130" s="6"/>
      <c r="B130" s="6" t="s">
        <v>28</v>
      </c>
      <c r="C130" s="6" t="s">
        <v>8</v>
      </c>
      <c r="D130" s="6" t="s">
        <v>30</v>
      </c>
      <c r="E130" s="6">
        <v>5</v>
      </c>
    </row>
    <row r="131" spans="1:16" x14ac:dyDescent="0.25">
      <c r="A131" s="6"/>
      <c r="B131" s="6" t="s">
        <v>7</v>
      </c>
      <c r="C131" s="6" t="s">
        <v>26</v>
      </c>
      <c r="D131" s="6" t="s">
        <v>9</v>
      </c>
      <c r="E131" s="6">
        <v>3</v>
      </c>
    </row>
    <row r="132" spans="1:16" x14ac:dyDescent="0.25">
      <c r="E132">
        <f>SUM(E6:E131)</f>
        <v>325</v>
      </c>
    </row>
    <row r="134" spans="1:16" ht="15.75" x14ac:dyDescent="0.25">
      <c r="M134" s="2"/>
      <c r="N134" s="2"/>
      <c r="O134" s="2"/>
      <c r="P134" s="2"/>
    </row>
    <row r="135" spans="1:16" ht="15.75" x14ac:dyDescent="0.25">
      <c r="M135" s="2"/>
      <c r="N135" s="2"/>
      <c r="O135" s="2"/>
      <c r="P135" s="2"/>
    </row>
    <row r="136" spans="1:16" ht="15.75" x14ac:dyDescent="0.25">
      <c r="M136" s="2"/>
      <c r="N136" s="2"/>
      <c r="O136" s="2"/>
      <c r="P136" s="2"/>
    </row>
    <row r="137" spans="1:16" ht="15.75" x14ac:dyDescent="0.25">
      <c r="M137" s="2"/>
      <c r="N137" s="2"/>
      <c r="O137" s="2"/>
      <c r="P137" s="2"/>
    </row>
    <row r="138" spans="1:16" ht="15.75" x14ac:dyDescent="0.25">
      <c r="M138" s="2"/>
      <c r="N138" s="2"/>
      <c r="O138" s="2"/>
      <c r="P138" s="2"/>
    </row>
    <row r="139" spans="1:16" ht="15.75" x14ac:dyDescent="0.25">
      <c r="M139" s="2"/>
      <c r="N139" s="2"/>
      <c r="O139" s="2"/>
      <c r="P139" s="2"/>
    </row>
    <row r="140" spans="1:16" ht="15.75" x14ac:dyDescent="0.25">
      <c r="M140" s="2"/>
      <c r="N140" s="2"/>
      <c r="O140" s="2"/>
      <c r="P140" s="2"/>
    </row>
    <row r="141" spans="1:16" ht="15.75" x14ac:dyDescent="0.25">
      <c r="M141" s="2"/>
      <c r="N141" s="2"/>
      <c r="O141" s="2"/>
      <c r="P141" s="2"/>
    </row>
    <row r="142" spans="1:16" ht="15.75" x14ac:dyDescent="0.25">
      <c r="M142" s="2"/>
      <c r="N142" s="2"/>
      <c r="O142" s="2"/>
      <c r="P142" s="2"/>
    </row>
    <row r="143" spans="1:16" ht="15.75" x14ac:dyDescent="0.25">
      <c r="M143" s="2"/>
      <c r="N143" s="2"/>
      <c r="O143" s="2"/>
      <c r="P143" s="2"/>
    </row>
    <row r="144" spans="1:16" ht="15.75" x14ac:dyDescent="0.25">
      <c r="M144" s="2"/>
      <c r="N144" s="2"/>
      <c r="O144" s="2"/>
      <c r="P144" s="2"/>
    </row>
    <row r="145" spans="7:16" ht="15.75" x14ac:dyDescent="0.25">
      <c r="M145" s="2"/>
      <c r="N145" s="2"/>
      <c r="O145" s="2"/>
      <c r="P145" s="2"/>
    </row>
    <row r="146" spans="7:16" ht="15.75" x14ac:dyDescent="0.25">
      <c r="M146" s="2"/>
      <c r="N146" s="2"/>
      <c r="O146" s="2"/>
      <c r="P146" s="2"/>
    </row>
    <row r="147" spans="7:16" ht="15.75" x14ac:dyDescent="0.25">
      <c r="M147" s="2"/>
      <c r="N147" s="2"/>
      <c r="O147" s="2"/>
      <c r="P147" s="2"/>
    </row>
    <row r="148" spans="7:16" ht="15.75" x14ac:dyDescent="0.25">
      <c r="M148" s="2"/>
      <c r="N148" s="2"/>
      <c r="O148" s="2"/>
      <c r="P148" s="2"/>
    </row>
    <row r="149" spans="7:16" ht="15.75" x14ac:dyDescent="0.25">
      <c r="M149" s="2"/>
      <c r="N149" s="2"/>
      <c r="O149" s="2"/>
      <c r="P149" s="2"/>
    </row>
    <row r="150" spans="7:16" ht="15.75" x14ac:dyDescent="0.25">
      <c r="M150" s="2"/>
      <c r="N150" s="2"/>
      <c r="O150" s="2"/>
      <c r="P150" s="2"/>
    </row>
    <row r="151" spans="7:16" ht="15.75" x14ac:dyDescent="0.25">
      <c r="M151" s="2"/>
      <c r="N151" s="2"/>
      <c r="O151" s="2"/>
      <c r="P151" s="2"/>
    </row>
    <row r="152" spans="7:16" ht="15.75" x14ac:dyDescent="0.25">
      <c r="M152" s="2"/>
      <c r="N152" s="2"/>
      <c r="O152" s="2"/>
      <c r="P152" s="2"/>
    </row>
    <row r="153" spans="7:16" ht="15.75" x14ac:dyDescent="0.25">
      <c r="M153" s="2"/>
      <c r="N153" s="2"/>
      <c r="O153" s="2"/>
      <c r="P153" s="2"/>
    </row>
    <row r="154" spans="7:16" ht="15.75" x14ac:dyDescent="0.25">
      <c r="M154" s="2"/>
      <c r="N154" s="2"/>
      <c r="O154" s="2"/>
      <c r="P154" s="2"/>
    </row>
    <row r="155" spans="7:16" ht="15.75" x14ac:dyDescent="0.25">
      <c r="M155" s="2"/>
      <c r="N155" s="2"/>
      <c r="O155" s="2"/>
      <c r="P155" s="2"/>
    </row>
    <row r="156" spans="7:16" ht="15.75" x14ac:dyDescent="0.25">
      <c r="M156" s="2"/>
      <c r="N156" s="2"/>
      <c r="O156" s="2"/>
      <c r="P156" s="2"/>
    </row>
    <row r="157" spans="7:16" ht="15.75" x14ac:dyDescent="0.25">
      <c r="M157" s="2"/>
      <c r="N157" s="2"/>
      <c r="O157" s="2"/>
      <c r="P157" s="2"/>
    </row>
    <row r="158" spans="7:16" ht="15.75" x14ac:dyDescent="0.25">
      <c r="M158" s="2"/>
      <c r="N158" s="2"/>
      <c r="O158" s="2"/>
      <c r="P158" s="2"/>
    </row>
    <row r="159" spans="7:16" ht="15.75" x14ac:dyDescent="0.25">
      <c r="M159" s="2"/>
      <c r="N159" s="2"/>
      <c r="O159" s="2"/>
      <c r="P159" s="2"/>
    </row>
    <row r="160" spans="7:16" ht="15.75" x14ac:dyDescent="0.25">
      <c r="G160" s="2"/>
      <c r="H160" s="2"/>
      <c r="I160" s="2"/>
      <c r="J160" s="2"/>
      <c r="K160" s="2"/>
      <c r="M160" s="2"/>
      <c r="N160" s="2"/>
      <c r="O160" s="2"/>
      <c r="P160" s="2"/>
    </row>
    <row r="161" spans="7:16" ht="15.75" x14ac:dyDescent="0.25">
      <c r="G161" s="60" t="s">
        <v>98</v>
      </c>
      <c r="H161" s="37" t="s">
        <v>6</v>
      </c>
      <c r="I161" s="37" t="s">
        <v>88</v>
      </c>
      <c r="J161" s="37" t="s">
        <v>3</v>
      </c>
      <c r="K161" s="37" t="s">
        <v>65</v>
      </c>
      <c r="L161" s="37" t="s">
        <v>66</v>
      </c>
      <c r="M161" s="28" t="s">
        <v>79</v>
      </c>
      <c r="N161" s="28" t="s">
        <v>81</v>
      </c>
      <c r="O161" s="28" t="s">
        <v>80</v>
      </c>
      <c r="P161" s="28" t="s">
        <v>100</v>
      </c>
    </row>
    <row r="162" spans="7:16" ht="15.75" x14ac:dyDescent="0.25">
      <c r="G162" s="61">
        <v>1</v>
      </c>
      <c r="H162" s="59" t="s">
        <v>22</v>
      </c>
      <c r="I162" s="59" t="s">
        <v>89</v>
      </c>
      <c r="J162" s="59" t="s">
        <v>21</v>
      </c>
      <c r="K162" s="59" t="s">
        <v>9</v>
      </c>
      <c r="L162" s="83">
        <v>1</v>
      </c>
      <c r="M162" s="62">
        <f>L162/325</f>
        <v>3.0769230769230769E-3</v>
      </c>
      <c r="N162" s="63">
        <f>LN(M162)</f>
        <v>-5.7838251823297373</v>
      </c>
      <c r="O162" s="63">
        <f>M162*N162</f>
        <v>-1.7796385176399192E-2</v>
      </c>
      <c r="P162" s="48">
        <f>M162^2</f>
        <v>9.4674556213017744E-6</v>
      </c>
    </row>
    <row r="163" spans="7:16" ht="15.75" x14ac:dyDescent="0.25">
      <c r="G163" s="18">
        <v>2</v>
      </c>
      <c r="H163" s="21" t="s">
        <v>19</v>
      </c>
      <c r="I163" s="21" t="s">
        <v>89</v>
      </c>
      <c r="J163" s="21" t="s">
        <v>21</v>
      </c>
      <c r="K163" s="8" t="s">
        <v>64</v>
      </c>
      <c r="L163" s="84">
        <v>3</v>
      </c>
      <c r="M163" s="19">
        <f t="shared" ref="M163:M185" si="1">L163/325</f>
        <v>9.2307692307692316E-3</v>
      </c>
      <c r="N163" s="20">
        <f t="shared" ref="N163:N185" si="2">LN(M163)</f>
        <v>-4.6852128936616273</v>
      </c>
      <c r="O163" s="20">
        <f t="shared" ref="O163:O185" si="3">M163*N163</f>
        <v>-4.3248119018415028E-2</v>
      </c>
      <c r="P163" s="35">
        <f t="shared" ref="P163:P185" si="4">M163^2</f>
        <v>8.5207100591715986E-5</v>
      </c>
    </row>
    <row r="164" spans="7:16" ht="15.75" x14ac:dyDescent="0.25">
      <c r="G164" s="18">
        <v>3</v>
      </c>
      <c r="H164" s="8" t="s">
        <v>28</v>
      </c>
      <c r="I164" s="8" t="s">
        <v>89</v>
      </c>
      <c r="J164" s="8" t="s">
        <v>26</v>
      </c>
      <c r="K164" s="8" t="s">
        <v>9</v>
      </c>
      <c r="L164" s="84">
        <v>3</v>
      </c>
      <c r="M164" s="19">
        <f t="shared" si="1"/>
        <v>9.2307692307692316E-3</v>
      </c>
      <c r="N164" s="20">
        <f t="shared" si="2"/>
        <v>-4.6852128936616273</v>
      </c>
      <c r="O164" s="20">
        <f t="shared" si="3"/>
        <v>-4.3248119018415028E-2</v>
      </c>
      <c r="P164" s="35">
        <f t="shared" si="4"/>
        <v>8.5207100591715986E-5</v>
      </c>
    </row>
    <row r="165" spans="7:16" ht="15.75" x14ac:dyDescent="0.25">
      <c r="G165" s="18">
        <v>4</v>
      </c>
      <c r="H165" s="8" t="s">
        <v>19</v>
      </c>
      <c r="I165" s="8" t="s">
        <v>91</v>
      </c>
      <c r="J165" s="8" t="s">
        <v>20</v>
      </c>
      <c r="K165" s="21" t="s">
        <v>9</v>
      </c>
      <c r="L165" s="84">
        <v>1</v>
      </c>
      <c r="M165" s="19">
        <f t="shared" si="1"/>
        <v>3.0769230769230769E-3</v>
      </c>
      <c r="N165" s="20">
        <f t="shared" si="2"/>
        <v>-5.7838251823297373</v>
      </c>
      <c r="O165" s="20">
        <f t="shared" si="3"/>
        <v>-1.7796385176399192E-2</v>
      </c>
      <c r="P165" s="35">
        <f t="shared" si="4"/>
        <v>9.4674556213017744E-6</v>
      </c>
    </row>
    <row r="166" spans="7:16" ht="15.75" x14ac:dyDescent="0.25">
      <c r="G166" s="18">
        <v>5</v>
      </c>
      <c r="H166" s="8" t="s">
        <v>19</v>
      </c>
      <c r="I166" s="21" t="s">
        <v>91</v>
      </c>
      <c r="J166" s="8" t="s">
        <v>20</v>
      </c>
      <c r="K166" s="21" t="s">
        <v>16</v>
      </c>
      <c r="L166" s="84">
        <v>5</v>
      </c>
      <c r="M166" s="19">
        <f t="shared" si="1"/>
        <v>1.5384615384615385E-2</v>
      </c>
      <c r="N166" s="20">
        <f t="shared" si="2"/>
        <v>-4.1743872698956368</v>
      </c>
      <c r="O166" s="20">
        <f t="shared" si="3"/>
        <v>-6.4221342613779028E-2</v>
      </c>
      <c r="P166" s="35">
        <f t="shared" si="4"/>
        <v>2.366863905325444E-4</v>
      </c>
    </row>
    <row r="167" spans="7:16" ht="15.75" x14ac:dyDescent="0.25">
      <c r="G167" s="18">
        <v>6</v>
      </c>
      <c r="H167" s="21" t="s">
        <v>7</v>
      </c>
      <c r="I167" s="21" t="s">
        <v>91</v>
      </c>
      <c r="J167" s="8" t="s">
        <v>8</v>
      </c>
      <c r="K167" s="8" t="s">
        <v>37</v>
      </c>
      <c r="L167" s="84">
        <v>36</v>
      </c>
      <c r="M167" s="19">
        <f t="shared" si="1"/>
        <v>0.11076923076923077</v>
      </c>
      <c r="N167" s="20">
        <f t="shared" si="2"/>
        <v>-2.2003062438736274</v>
      </c>
      <c r="O167" s="20">
        <f t="shared" si="3"/>
        <v>-0.2437262300906172</v>
      </c>
      <c r="P167" s="35">
        <f t="shared" si="4"/>
        <v>1.2269822485207102E-2</v>
      </c>
    </row>
    <row r="168" spans="7:16" ht="15.75" x14ac:dyDescent="0.25">
      <c r="G168" s="18">
        <v>7</v>
      </c>
      <c r="H168" s="21" t="s">
        <v>7</v>
      </c>
      <c r="I168" s="21" t="s">
        <v>91</v>
      </c>
      <c r="J168" s="8" t="s">
        <v>8</v>
      </c>
      <c r="K168" s="8" t="s">
        <v>34</v>
      </c>
      <c r="L168" s="84">
        <v>2</v>
      </c>
      <c r="M168" s="19">
        <f t="shared" si="1"/>
        <v>6.1538461538461538E-3</v>
      </c>
      <c r="N168" s="20">
        <f t="shared" si="2"/>
        <v>-5.0906780017697919</v>
      </c>
      <c r="O168" s="20">
        <f t="shared" si="3"/>
        <v>-3.1327249241660256E-2</v>
      </c>
      <c r="P168" s="35">
        <f t="shared" si="4"/>
        <v>3.7869822485207098E-5</v>
      </c>
    </row>
    <row r="169" spans="7:16" ht="15.75" x14ac:dyDescent="0.25">
      <c r="G169" s="18">
        <v>8</v>
      </c>
      <c r="H169" s="21" t="s">
        <v>7</v>
      </c>
      <c r="I169" s="21" t="s">
        <v>91</v>
      </c>
      <c r="J169" s="8" t="s">
        <v>8</v>
      </c>
      <c r="K169" s="8" t="s">
        <v>18</v>
      </c>
      <c r="L169" s="84">
        <v>97</v>
      </c>
      <c r="M169" s="19">
        <f t="shared" si="1"/>
        <v>0.29846153846153844</v>
      </c>
      <c r="N169" s="20">
        <f t="shared" si="2"/>
        <v>-1.2091142038263547</v>
      </c>
      <c r="O169" s="20">
        <f t="shared" si="3"/>
        <v>-0.360874085449712</v>
      </c>
      <c r="P169" s="35">
        <f t="shared" si="4"/>
        <v>8.9079289940828393E-2</v>
      </c>
    </row>
    <row r="170" spans="7:16" ht="15.75" x14ac:dyDescent="0.25">
      <c r="G170" s="18">
        <v>9</v>
      </c>
      <c r="H170" s="8" t="s">
        <v>28</v>
      </c>
      <c r="I170" s="8" t="s">
        <v>91</v>
      </c>
      <c r="J170" s="8" t="s">
        <v>8</v>
      </c>
      <c r="K170" s="8" t="s">
        <v>30</v>
      </c>
      <c r="L170" s="84">
        <v>59</v>
      </c>
      <c r="M170" s="19">
        <f t="shared" si="1"/>
        <v>0.18153846153846154</v>
      </c>
      <c r="N170" s="20">
        <f t="shared" si="2"/>
        <v>-1.706287738424018</v>
      </c>
      <c r="O170" s="20">
        <f t="shared" si="3"/>
        <v>-0.30975685097543709</v>
      </c>
      <c r="P170" s="35">
        <f t="shared" si="4"/>
        <v>3.2956213017751479E-2</v>
      </c>
    </row>
    <row r="171" spans="7:16" ht="15.75" x14ac:dyDescent="0.25">
      <c r="G171" s="18">
        <v>10</v>
      </c>
      <c r="H171" s="8" t="s">
        <v>7</v>
      </c>
      <c r="I171" s="21" t="s">
        <v>91</v>
      </c>
      <c r="J171" s="8" t="s">
        <v>8</v>
      </c>
      <c r="K171" s="21" t="s">
        <v>9</v>
      </c>
      <c r="L171" s="84">
        <v>13</v>
      </c>
      <c r="M171" s="19">
        <f t="shared" si="1"/>
        <v>0.04</v>
      </c>
      <c r="N171" s="20">
        <f t="shared" si="2"/>
        <v>-3.2188758248682006</v>
      </c>
      <c r="O171" s="20">
        <f t="shared" si="3"/>
        <v>-0.12875503299472801</v>
      </c>
      <c r="P171" s="35">
        <f t="shared" si="4"/>
        <v>1.6000000000000001E-3</v>
      </c>
    </row>
    <row r="172" spans="7:16" ht="15.75" x14ac:dyDescent="0.25">
      <c r="G172" s="18">
        <v>11</v>
      </c>
      <c r="H172" s="8" t="s">
        <v>7</v>
      </c>
      <c r="I172" s="21" t="s">
        <v>91</v>
      </c>
      <c r="J172" s="8" t="s">
        <v>8</v>
      </c>
      <c r="K172" s="21" t="s">
        <v>16</v>
      </c>
      <c r="L172" s="84">
        <v>2</v>
      </c>
      <c r="M172" s="19">
        <f t="shared" si="1"/>
        <v>6.1538461538461538E-3</v>
      </c>
      <c r="N172" s="20">
        <f t="shared" si="2"/>
        <v>-5.0906780017697919</v>
      </c>
      <c r="O172" s="20">
        <f t="shared" si="3"/>
        <v>-3.1327249241660256E-2</v>
      </c>
      <c r="P172" s="35">
        <f t="shared" si="4"/>
        <v>3.7869822485207098E-5</v>
      </c>
    </row>
    <row r="173" spans="7:16" ht="15.75" x14ac:dyDescent="0.25">
      <c r="G173" s="18">
        <v>12</v>
      </c>
      <c r="H173" s="8" t="s">
        <v>7</v>
      </c>
      <c r="I173" s="21" t="s">
        <v>91</v>
      </c>
      <c r="J173" s="8" t="s">
        <v>8</v>
      </c>
      <c r="K173" s="21" t="s">
        <v>23</v>
      </c>
      <c r="L173" s="84">
        <v>5</v>
      </c>
      <c r="M173" s="19">
        <f t="shared" si="1"/>
        <v>1.5384615384615385E-2</v>
      </c>
      <c r="N173" s="20">
        <f t="shared" si="2"/>
        <v>-4.1743872698956368</v>
      </c>
      <c r="O173" s="20">
        <f t="shared" si="3"/>
        <v>-6.4221342613779028E-2</v>
      </c>
      <c r="P173" s="35">
        <f t="shared" si="4"/>
        <v>2.366863905325444E-4</v>
      </c>
    </row>
    <row r="174" spans="7:16" ht="15.75" x14ac:dyDescent="0.25">
      <c r="G174" s="18">
        <v>13</v>
      </c>
      <c r="H174" s="8" t="s">
        <v>7</v>
      </c>
      <c r="I174" s="21" t="s">
        <v>91</v>
      </c>
      <c r="J174" s="8" t="s">
        <v>8</v>
      </c>
      <c r="K174" s="21" t="s">
        <v>31</v>
      </c>
      <c r="L174" s="84">
        <v>1</v>
      </c>
      <c r="M174" s="19">
        <f t="shared" si="1"/>
        <v>3.0769230769230769E-3</v>
      </c>
      <c r="N174" s="20">
        <f t="shared" si="2"/>
        <v>-5.7838251823297373</v>
      </c>
      <c r="O174" s="20">
        <f t="shared" si="3"/>
        <v>-1.7796385176399192E-2</v>
      </c>
      <c r="P174" s="35">
        <f t="shared" si="4"/>
        <v>9.4674556213017744E-6</v>
      </c>
    </row>
    <row r="175" spans="7:16" ht="15.75" x14ac:dyDescent="0.25">
      <c r="G175" s="18">
        <v>14</v>
      </c>
      <c r="H175" s="8" t="s">
        <v>7</v>
      </c>
      <c r="I175" s="21" t="s">
        <v>91</v>
      </c>
      <c r="J175" s="8" t="s">
        <v>14</v>
      </c>
      <c r="K175" s="21" t="s">
        <v>9</v>
      </c>
      <c r="L175" s="84">
        <v>2</v>
      </c>
      <c r="M175" s="19">
        <f t="shared" si="1"/>
        <v>6.1538461538461538E-3</v>
      </c>
      <c r="N175" s="20">
        <f t="shared" si="2"/>
        <v>-5.0906780017697919</v>
      </c>
      <c r="O175" s="20">
        <f t="shared" si="3"/>
        <v>-3.1327249241660256E-2</v>
      </c>
      <c r="P175" s="35">
        <f t="shared" si="4"/>
        <v>3.7869822485207098E-5</v>
      </c>
    </row>
    <row r="176" spans="7:16" ht="15.75" x14ac:dyDescent="0.25">
      <c r="G176" s="18">
        <v>15</v>
      </c>
      <c r="H176" s="8" t="s">
        <v>7</v>
      </c>
      <c r="I176" s="21" t="s">
        <v>91</v>
      </c>
      <c r="J176" s="8" t="s">
        <v>14</v>
      </c>
      <c r="K176" s="21" t="s">
        <v>16</v>
      </c>
      <c r="L176" s="84">
        <v>4</v>
      </c>
      <c r="M176" s="19">
        <f t="shared" si="1"/>
        <v>1.2307692307692308E-2</v>
      </c>
      <c r="N176" s="20">
        <f t="shared" si="2"/>
        <v>-4.3975308212098465</v>
      </c>
      <c r="O176" s="20">
        <f t="shared" si="3"/>
        <v>-5.4123456261044263E-2</v>
      </c>
      <c r="P176" s="35">
        <f t="shared" si="4"/>
        <v>1.5147928994082839E-4</v>
      </c>
    </row>
    <row r="177" spans="7:16" ht="15.75" x14ac:dyDescent="0.25">
      <c r="G177" s="18">
        <v>16</v>
      </c>
      <c r="H177" s="8" t="s">
        <v>7</v>
      </c>
      <c r="I177" s="21" t="s">
        <v>91</v>
      </c>
      <c r="J177" s="8" t="s">
        <v>14</v>
      </c>
      <c r="K177" s="21" t="s">
        <v>23</v>
      </c>
      <c r="L177" s="84">
        <v>1</v>
      </c>
      <c r="M177" s="19">
        <f t="shared" si="1"/>
        <v>3.0769230769230769E-3</v>
      </c>
      <c r="N177" s="20">
        <f t="shared" si="2"/>
        <v>-5.7838251823297373</v>
      </c>
      <c r="O177" s="20">
        <f t="shared" si="3"/>
        <v>-1.7796385176399192E-2</v>
      </c>
      <c r="P177" s="35">
        <f t="shared" si="4"/>
        <v>9.4674556213017744E-6</v>
      </c>
    </row>
    <row r="178" spans="7:16" ht="15.75" x14ac:dyDescent="0.25">
      <c r="G178" s="18">
        <v>17</v>
      </c>
      <c r="H178" s="8" t="s">
        <v>7</v>
      </c>
      <c r="I178" s="21" t="s">
        <v>91</v>
      </c>
      <c r="J178" s="8" t="s">
        <v>14</v>
      </c>
      <c r="K178" s="21" t="s">
        <v>31</v>
      </c>
      <c r="L178" s="84">
        <v>13</v>
      </c>
      <c r="M178" s="19">
        <f t="shared" si="1"/>
        <v>0.04</v>
      </c>
      <c r="N178" s="20">
        <f t="shared" si="2"/>
        <v>-3.2188758248682006</v>
      </c>
      <c r="O178" s="20">
        <f t="shared" si="3"/>
        <v>-0.12875503299472801</v>
      </c>
      <c r="P178" s="35">
        <f t="shared" si="4"/>
        <v>1.6000000000000001E-3</v>
      </c>
    </row>
    <row r="179" spans="7:16" ht="15.75" x14ac:dyDescent="0.25">
      <c r="G179" s="18">
        <v>18</v>
      </c>
      <c r="H179" s="8" t="s">
        <v>7</v>
      </c>
      <c r="I179" s="21" t="s">
        <v>91</v>
      </c>
      <c r="J179" s="8" t="s">
        <v>12</v>
      </c>
      <c r="K179" s="8" t="s">
        <v>55</v>
      </c>
      <c r="L179" s="84">
        <v>3</v>
      </c>
      <c r="M179" s="19">
        <f t="shared" si="1"/>
        <v>9.2307692307692316E-3</v>
      </c>
      <c r="N179" s="20">
        <f t="shared" si="2"/>
        <v>-4.6852128936616273</v>
      </c>
      <c r="O179" s="20">
        <f t="shared" si="3"/>
        <v>-4.3248119018415028E-2</v>
      </c>
      <c r="P179" s="35">
        <f t="shared" si="4"/>
        <v>8.5207100591715986E-5</v>
      </c>
    </row>
    <row r="180" spans="7:16" ht="15.75" x14ac:dyDescent="0.25">
      <c r="G180" s="18">
        <v>19</v>
      </c>
      <c r="H180" s="8" t="s">
        <v>7</v>
      </c>
      <c r="I180" s="21" t="s">
        <v>91</v>
      </c>
      <c r="J180" s="8" t="s">
        <v>12</v>
      </c>
      <c r="K180" s="8" t="s">
        <v>13</v>
      </c>
      <c r="L180" s="84">
        <v>34</v>
      </c>
      <c r="M180" s="19">
        <f t="shared" si="1"/>
        <v>0.10461538461538461</v>
      </c>
      <c r="N180" s="20">
        <f t="shared" si="2"/>
        <v>-2.2574646577135762</v>
      </c>
      <c r="O180" s="20">
        <f t="shared" si="3"/>
        <v>-0.23616553342234334</v>
      </c>
      <c r="P180" s="35">
        <f t="shared" si="4"/>
        <v>1.0944378698224851E-2</v>
      </c>
    </row>
    <row r="181" spans="7:16" ht="15.75" x14ac:dyDescent="0.25">
      <c r="G181" s="18">
        <v>20</v>
      </c>
      <c r="H181" s="8" t="s">
        <v>7</v>
      </c>
      <c r="I181" s="21" t="s">
        <v>91</v>
      </c>
      <c r="J181" s="8" t="s">
        <v>36</v>
      </c>
      <c r="K181" s="21" t="s">
        <v>67</v>
      </c>
      <c r="L181" s="84">
        <v>4</v>
      </c>
      <c r="M181" s="19">
        <f t="shared" si="1"/>
        <v>1.2307692307692308E-2</v>
      </c>
      <c r="N181" s="20">
        <f t="shared" si="2"/>
        <v>-4.3975308212098465</v>
      </c>
      <c r="O181" s="20">
        <f t="shared" si="3"/>
        <v>-5.4123456261044263E-2</v>
      </c>
      <c r="P181" s="35">
        <f t="shared" si="4"/>
        <v>1.5147928994082839E-4</v>
      </c>
    </row>
    <row r="182" spans="7:16" ht="15.75" x14ac:dyDescent="0.25">
      <c r="G182" s="18">
        <v>21</v>
      </c>
      <c r="H182" s="21" t="s">
        <v>28</v>
      </c>
      <c r="I182" s="8" t="s">
        <v>92</v>
      </c>
      <c r="J182" s="8" t="s">
        <v>59</v>
      </c>
      <c r="K182" s="8" t="s">
        <v>67</v>
      </c>
      <c r="L182" s="84">
        <v>1</v>
      </c>
      <c r="M182" s="19">
        <f t="shared" si="1"/>
        <v>3.0769230769230769E-3</v>
      </c>
      <c r="N182" s="20">
        <f t="shared" si="2"/>
        <v>-5.7838251823297373</v>
      </c>
      <c r="O182" s="20">
        <f t="shared" si="3"/>
        <v>-1.7796385176399192E-2</v>
      </c>
      <c r="P182" s="35">
        <f t="shared" si="4"/>
        <v>9.4674556213017744E-6</v>
      </c>
    </row>
    <row r="183" spans="7:16" ht="15.75" x14ac:dyDescent="0.25">
      <c r="G183" s="18">
        <v>22</v>
      </c>
      <c r="H183" s="8" t="s">
        <v>7</v>
      </c>
      <c r="I183" s="8" t="s">
        <v>94</v>
      </c>
      <c r="J183" s="8" t="s">
        <v>57</v>
      </c>
      <c r="K183" s="8" t="s">
        <v>58</v>
      </c>
      <c r="L183" s="84">
        <v>3</v>
      </c>
      <c r="M183" s="19">
        <f t="shared" si="1"/>
        <v>9.2307692307692316E-3</v>
      </c>
      <c r="N183" s="20">
        <f t="shared" si="2"/>
        <v>-4.6852128936616273</v>
      </c>
      <c r="O183" s="20">
        <f t="shared" si="3"/>
        <v>-4.3248119018415028E-2</v>
      </c>
      <c r="P183" s="35">
        <f t="shared" si="4"/>
        <v>8.5207100591715986E-5</v>
      </c>
    </row>
    <row r="184" spans="7:16" ht="15.75" x14ac:dyDescent="0.25">
      <c r="G184" s="18">
        <v>23</v>
      </c>
      <c r="H184" s="21" t="s">
        <v>22</v>
      </c>
      <c r="I184" s="8" t="s">
        <v>95</v>
      </c>
      <c r="J184" s="8" t="s">
        <v>25</v>
      </c>
      <c r="K184" s="8" t="s">
        <v>69</v>
      </c>
      <c r="L184" s="84">
        <v>4</v>
      </c>
      <c r="M184" s="19">
        <f t="shared" si="1"/>
        <v>1.2307692307692308E-2</v>
      </c>
      <c r="N184" s="20">
        <f t="shared" si="2"/>
        <v>-4.3975308212098465</v>
      </c>
      <c r="O184" s="20">
        <f t="shared" si="3"/>
        <v>-5.4123456261044263E-2</v>
      </c>
      <c r="P184" s="35">
        <f t="shared" si="4"/>
        <v>1.5147928994082839E-4</v>
      </c>
    </row>
    <row r="185" spans="7:16" ht="15.75" x14ac:dyDescent="0.25">
      <c r="G185" s="18">
        <v>24</v>
      </c>
      <c r="H185" s="8" t="s">
        <v>19</v>
      </c>
      <c r="I185" s="8" t="s">
        <v>93</v>
      </c>
      <c r="J185" s="8" t="s">
        <v>11</v>
      </c>
      <c r="K185" s="8" t="s">
        <v>67</v>
      </c>
      <c r="L185" s="84">
        <v>28</v>
      </c>
      <c r="M185" s="19">
        <f t="shared" si="1"/>
        <v>8.615384615384615E-2</v>
      </c>
      <c r="N185" s="20">
        <f t="shared" si="2"/>
        <v>-2.4516206721545335</v>
      </c>
      <c r="O185" s="20">
        <f t="shared" si="3"/>
        <v>-0.21121655021639058</v>
      </c>
      <c r="P185" s="35">
        <f t="shared" si="4"/>
        <v>7.4224852071005914E-3</v>
      </c>
    </row>
    <row r="186" spans="7:16" ht="15.75" x14ac:dyDescent="0.25">
      <c r="G186" s="165" t="s">
        <v>82</v>
      </c>
      <c r="H186" s="165"/>
      <c r="I186" s="165"/>
      <c r="J186" s="165"/>
      <c r="K186" s="165"/>
      <c r="L186" s="83">
        <f>SUM(L162:L185)</f>
        <v>325</v>
      </c>
      <c r="M186" s="47"/>
      <c r="N186" s="47"/>
      <c r="O186" s="90">
        <f>SUM(O162:O185)</f>
        <v>-2.2660185198352836</v>
      </c>
      <c r="P186" s="62">
        <f>SUM(P162:P185)</f>
        <v>0.15730177514792895</v>
      </c>
    </row>
    <row r="187" spans="7:16" ht="15.75" x14ac:dyDescent="0.25">
      <c r="G187" s="166" t="s">
        <v>83</v>
      </c>
      <c r="H187" s="166"/>
      <c r="I187" s="166"/>
      <c r="J187" s="166"/>
      <c r="K187" s="166"/>
      <c r="L187" s="38"/>
      <c r="M187" s="39"/>
      <c r="N187" s="39"/>
      <c r="O187" s="40">
        <f>-(O186)</f>
        <v>2.2660185198352836</v>
      </c>
      <c r="P187" s="39"/>
    </row>
    <row r="188" spans="7:16" ht="15.75" x14ac:dyDescent="0.25">
      <c r="G188" s="167" t="s">
        <v>84</v>
      </c>
      <c r="H188" s="167"/>
      <c r="I188" s="167"/>
      <c r="J188" s="167"/>
      <c r="K188" s="167"/>
      <c r="L188" s="41"/>
      <c r="M188" s="42"/>
      <c r="N188" s="42"/>
      <c r="O188" s="43">
        <f>O187/LN(12)</f>
        <v>0.91191293645924643</v>
      </c>
      <c r="P188" s="42"/>
    </row>
    <row r="189" spans="7:16" ht="15.75" x14ac:dyDescent="0.25">
      <c r="G189" s="168" t="s">
        <v>85</v>
      </c>
      <c r="H189" s="168"/>
      <c r="I189" s="168"/>
      <c r="J189" s="168"/>
      <c r="K189" s="168"/>
      <c r="L189" s="44"/>
      <c r="M189" s="45"/>
      <c r="N189" s="45"/>
      <c r="O189" s="46">
        <f>P186</f>
        <v>0.15730177514792895</v>
      </c>
      <c r="P189" s="45"/>
    </row>
  </sheetData>
  <mergeCells count="7">
    <mergeCell ref="G189:K189"/>
    <mergeCell ref="G186:K186"/>
    <mergeCell ref="A1:C1"/>
    <mergeCell ref="A2:B2"/>
    <mergeCell ref="A3:B3"/>
    <mergeCell ref="G187:K187"/>
    <mergeCell ref="G188:K18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2"/>
  <sheetViews>
    <sheetView topLeftCell="E1" zoomScale="80" zoomScaleNormal="80" workbookViewId="0">
      <pane ySplit="2055" topLeftCell="A144" activePane="bottomLeft"/>
      <selection activeCell="E1" sqref="E1"/>
      <selection pane="bottomLeft" activeCell="G140" sqref="G140:P161"/>
    </sheetView>
  </sheetViews>
  <sheetFormatPr defaultRowHeight="15" x14ac:dyDescent="0.25"/>
  <cols>
    <col min="2" max="2" width="22.5703125" customWidth="1"/>
    <col min="3" max="3" width="29.42578125" customWidth="1"/>
    <col min="4" max="4" width="27.140625" customWidth="1"/>
    <col min="5" max="5" width="14" customWidth="1"/>
    <col min="6" max="6" width="16" customWidth="1"/>
    <col min="8" max="8" width="14.140625" customWidth="1"/>
    <col min="9" max="9" width="14.5703125" customWidth="1"/>
    <col min="10" max="10" width="22.85546875" customWidth="1"/>
    <col min="11" max="11" width="25.7109375" customWidth="1"/>
    <col min="12" max="12" width="22" customWidth="1"/>
  </cols>
  <sheetData>
    <row r="1" spans="1:39" ht="15.75" x14ac:dyDescent="0.25">
      <c r="A1" s="169" t="s">
        <v>50</v>
      </c>
      <c r="B1" s="169"/>
      <c r="C1" s="169"/>
      <c r="D1" s="8" t="s">
        <v>61</v>
      </c>
      <c r="E1" s="7" t="s">
        <v>41</v>
      </c>
      <c r="F1" s="7" t="s">
        <v>51</v>
      </c>
      <c r="I1" s="13" t="s">
        <v>72</v>
      </c>
    </row>
    <row r="2" spans="1:39" ht="15.75" x14ac:dyDescent="0.25">
      <c r="A2" s="169" t="s">
        <v>1</v>
      </c>
      <c r="B2" s="169"/>
      <c r="C2" s="10" t="s">
        <v>53</v>
      </c>
      <c r="D2" s="8"/>
      <c r="E2" s="7" t="s">
        <v>42</v>
      </c>
      <c r="F2" s="7" t="s">
        <v>52</v>
      </c>
      <c r="I2" s="13" t="s">
        <v>75</v>
      </c>
    </row>
    <row r="3" spans="1:39" ht="15.75" x14ac:dyDescent="0.25">
      <c r="A3" s="169" t="s">
        <v>45</v>
      </c>
      <c r="B3" s="169"/>
      <c r="C3" s="8">
        <v>3</v>
      </c>
      <c r="D3" s="8"/>
      <c r="E3" s="10"/>
      <c r="F3" s="10"/>
    </row>
    <row r="5" spans="1:39" s="109" customFormat="1" ht="51" x14ac:dyDescent="0.25">
      <c r="A5" s="122" t="s">
        <v>2</v>
      </c>
      <c r="B5" s="122" t="s">
        <v>6</v>
      </c>
      <c r="C5" s="122" t="s">
        <v>3</v>
      </c>
      <c r="D5" s="122" t="s">
        <v>4</v>
      </c>
      <c r="E5" s="122" t="s">
        <v>5</v>
      </c>
      <c r="H5" s="102" t="s">
        <v>130</v>
      </c>
      <c r="I5" s="110" t="s">
        <v>101</v>
      </c>
      <c r="J5" s="110" t="s">
        <v>112</v>
      </c>
      <c r="K5" s="111" t="s">
        <v>64</v>
      </c>
      <c r="L5" s="111" t="s">
        <v>102</v>
      </c>
      <c r="M5" s="110" t="s">
        <v>113</v>
      </c>
      <c r="N5" s="111" t="s">
        <v>114</v>
      </c>
      <c r="O5" s="110" t="s">
        <v>103</v>
      </c>
      <c r="P5" s="110" t="s">
        <v>104</v>
      </c>
      <c r="Q5" s="111" t="s">
        <v>37</v>
      </c>
      <c r="R5" s="111" t="s">
        <v>34</v>
      </c>
      <c r="S5" s="111" t="s">
        <v>18</v>
      </c>
      <c r="T5" s="111" t="s">
        <v>30</v>
      </c>
      <c r="U5" s="110" t="s">
        <v>68</v>
      </c>
      <c r="V5" s="110" t="s">
        <v>115</v>
      </c>
      <c r="W5" s="110" t="s">
        <v>116</v>
      </c>
      <c r="X5" s="110" t="s">
        <v>117</v>
      </c>
      <c r="Y5" s="110" t="s">
        <v>118</v>
      </c>
      <c r="Z5" s="110" t="s">
        <v>119</v>
      </c>
      <c r="AA5" s="110" t="s">
        <v>120</v>
      </c>
      <c r="AB5" s="110" t="s">
        <v>121</v>
      </c>
      <c r="AC5" s="111" t="s">
        <v>55</v>
      </c>
      <c r="AD5" s="111" t="s">
        <v>13</v>
      </c>
      <c r="AE5" s="110" t="s">
        <v>122</v>
      </c>
      <c r="AF5" s="112" t="s">
        <v>97</v>
      </c>
      <c r="AG5" s="111" t="s">
        <v>123</v>
      </c>
      <c r="AH5" s="111" t="s">
        <v>58</v>
      </c>
      <c r="AI5" s="111" t="s">
        <v>69</v>
      </c>
      <c r="AJ5" s="111" t="s">
        <v>124</v>
      </c>
      <c r="AK5" s="110" t="s">
        <v>125</v>
      </c>
      <c r="AL5" s="111" t="s">
        <v>60</v>
      </c>
      <c r="AM5" s="113" t="s">
        <v>126</v>
      </c>
    </row>
    <row r="6" spans="1:39" ht="15.75" x14ac:dyDescent="0.25">
      <c r="A6" s="15">
        <v>1</v>
      </c>
      <c r="B6" s="15" t="s">
        <v>7</v>
      </c>
      <c r="C6" s="15" t="s">
        <v>26</v>
      </c>
      <c r="D6" s="15" t="s">
        <v>9</v>
      </c>
      <c r="E6" s="15">
        <v>8</v>
      </c>
      <c r="H6">
        <v>1</v>
      </c>
      <c r="I6">
        <v>0</v>
      </c>
      <c r="J6">
        <v>0</v>
      </c>
      <c r="K6">
        <v>0</v>
      </c>
      <c r="L6">
        <v>8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</v>
      </c>
      <c r="V6">
        <v>1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</row>
    <row r="7" spans="1:39" ht="15.75" x14ac:dyDescent="0.25">
      <c r="A7" s="15"/>
      <c r="B7" s="15" t="s">
        <v>7</v>
      </c>
      <c r="C7" s="15" t="s">
        <v>8</v>
      </c>
      <c r="D7" s="15" t="s">
        <v>9</v>
      </c>
      <c r="E7" s="15">
        <v>1</v>
      </c>
      <c r="H7">
        <v>2</v>
      </c>
      <c r="I7">
        <v>0</v>
      </c>
      <c r="J7">
        <v>0</v>
      </c>
      <c r="K7">
        <v>0</v>
      </c>
      <c r="L7">
        <v>1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6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</row>
    <row r="8" spans="1:39" ht="15.75" x14ac:dyDescent="0.25">
      <c r="A8" s="15"/>
      <c r="B8" s="15" t="s">
        <v>7</v>
      </c>
      <c r="C8" s="15" t="s">
        <v>8</v>
      </c>
      <c r="D8" s="15" t="s">
        <v>16</v>
      </c>
      <c r="E8" s="15">
        <v>1</v>
      </c>
      <c r="H8">
        <v>3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4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</row>
    <row r="9" spans="1:39" ht="15.75" x14ac:dyDescent="0.25">
      <c r="A9" s="15">
        <v>2</v>
      </c>
      <c r="B9" s="15" t="s">
        <v>7</v>
      </c>
      <c r="C9" s="15" t="s">
        <v>26</v>
      </c>
      <c r="D9" s="15" t="s">
        <v>9</v>
      </c>
      <c r="E9" s="15">
        <v>1</v>
      </c>
      <c r="H9">
        <v>4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2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</row>
    <row r="10" spans="1:39" ht="15.75" x14ac:dyDescent="0.25">
      <c r="A10" s="15"/>
      <c r="B10" s="15" t="s">
        <v>7</v>
      </c>
      <c r="C10" s="15" t="s">
        <v>27</v>
      </c>
      <c r="D10" s="15" t="s">
        <v>13</v>
      </c>
      <c r="E10" s="15">
        <v>6</v>
      </c>
      <c r="H10">
        <v>5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0</v>
      </c>
      <c r="AK10">
        <v>0</v>
      </c>
      <c r="AL10">
        <v>12</v>
      </c>
      <c r="AM10">
        <v>0</v>
      </c>
    </row>
    <row r="11" spans="1:39" ht="15.75" x14ac:dyDescent="0.25">
      <c r="A11" s="15">
        <v>3</v>
      </c>
      <c r="B11" s="15" t="s">
        <v>7</v>
      </c>
      <c r="C11" s="15" t="s">
        <v>8</v>
      </c>
      <c r="D11" s="15" t="s">
        <v>9</v>
      </c>
      <c r="E11" s="15">
        <v>4</v>
      </c>
      <c r="H11">
        <v>6</v>
      </c>
      <c r="I11">
        <v>0</v>
      </c>
      <c r="J11">
        <v>0</v>
      </c>
      <c r="K11">
        <v>0</v>
      </c>
      <c r="L11">
        <v>1</v>
      </c>
      <c r="M11">
        <v>0</v>
      </c>
      <c r="N11">
        <v>2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1</v>
      </c>
      <c r="V11">
        <v>1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</row>
    <row r="12" spans="1:39" ht="15.75" x14ac:dyDescent="0.25">
      <c r="A12" s="15">
        <v>4</v>
      </c>
      <c r="B12" s="15" t="s">
        <v>7</v>
      </c>
      <c r="C12" s="15" t="s">
        <v>8</v>
      </c>
      <c r="D12" s="15" t="s">
        <v>9</v>
      </c>
      <c r="E12" s="15">
        <v>1</v>
      </c>
      <c r="H12">
        <v>7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3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</row>
    <row r="13" spans="1:39" ht="15.75" x14ac:dyDescent="0.25">
      <c r="A13" s="15"/>
      <c r="B13" s="15" t="s">
        <v>7</v>
      </c>
      <c r="C13" s="15" t="s">
        <v>8</v>
      </c>
      <c r="D13" s="15" t="s">
        <v>9</v>
      </c>
      <c r="E13" s="15">
        <v>1</v>
      </c>
      <c r="H13">
        <v>8</v>
      </c>
      <c r="I13">
        <v>0</v>
      </c>
      <c r="J13">
        <v>0</v>
      </c>
      <c r="K13">
        <v>0</v>
      </c>
      <c r="L13">
        <v>0</v>
      </c>
      <c r="M13">
        <v>4</v>
      </c>
      <c r="N13">
        <v>4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</row>
    <row r="14" spans="1:39" ht="15.75" x14ac:dyDescent="0.25">
      <c r="A14" s="15">
        <v>5</v>
      </c>
      <c r="B14" s="15" t="s">
        <v>22</v>
      </c>
      <c r="C14" s="15" t="s">
        <v>11</v>
      </c>
      <c r="D14" s="15" t="s">
        <v>60</v>
      </c>
      <c r="E14" s="15">
        <v>12</v>
      </c>
      <c r="H14">
        <v>9</v>
      </c>
      <c r="I14">
        <v>0</v>
      </c>
      <c r="J14">
        <v>0</v>
      </c>
      <c r="K14">
        <v>0</v>
      </c>
      <c r="L14">
        <v>0</v>
      </c>
      <c r="M14">
        <v>0</v>
      </c>
      <c r="N14">
        <v>3</v>
      </c>
      <c r="O14">
        <v>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</row>
    <row r="15" spans="1:39" ht="15.75" x14ac:dyDescent="0.25">
      <c r="A15" s="15"/>
      <c r="B15" s="15" t="s">
        <v>22</v>
      </c>
      <c r="C15" s="15" t="s">
        <v>25</v>
      </c>
      <c r="D15" s="16" t="s">
        <v>69</v>
      </c>
      <c r="E15" s="15">
        <v>1</v>
      </c>
      <c r="H15">
        <v>10</v>
      </c>
      <c r="I15">
        <v>0</v>
      </c>
      <c r="J15">
        <v>0</v>
      </c>
      <c r="K15">
        <v>0</v>
      </c>
      <c r="L15">
        <v>0</v>
      </c>
      <c r="M15">
        <v>0</v>
      </c>
      <c r="N15">
        <v>3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</row>
    <row r="16" spans="1:39" ht="15.75" x14ac:dyDescent="0.25">
      <c r="A16" s="15">
        <v>6</v>
      </c>
      <c r="B16" s="15" t="s">
        <v>7</v>
      </c>
      <c r="C16" s="15" t="s">
        <v>8</v>
      </c>
      <c r="D16" s="15" t="s">
        <v>9</v>
      </c>
      <c r="E16" s="15">
        <v>1</v>
      </c>
      <c r="H16">
        <v>11</v>
      </c>
      <c r="I16">
        <v>0</v>
      </c>
      <c r="J16">
        <v>0</v>
      </c>
      <c r="K16">
        <v>0</v>
      </c>
      <c r="L16">
        <v>0</v>
      </c>
      <c r="M16">
        <v>0</v>
      </c>
      <c r="N16">
        <v>1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</row>
    <row r="17" spans="1:39" ht="15.75" x14ac:dyDescent="0.25">
      <c r="A17" s="15"/>
      <c r="B17" s="15" t="s">
        <v>19</v>
      </c>
      <c r="C17" s="15" t="s">
        <v>29</v>
      </c>
      <c r="D17" s="15" t="s">
        <v>67</v>
      </c>
      <c r="E17" s="15">
        <v>2</v>
      </c>
      <c r="H17">
        <v>12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6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</row>
    <row r="18" spans="1:39" ht="15.75" x14ac:dyDescent="0.25">
      <c r="A18" s="15"/>
      <c r="B18" s="15" t="s">
        <v>7</v>
      </c>
      <c r="C18" s="15" t="s">
        <v>26</v>
      </c>
      <c r="D18" s="15" t="s">
        <v>9</v>
      </c>
      <c r="E18" s="15">
        <v>1</v>
      </c>
      <c r="H18">
        <v>13</v>
      </c>
      <c r="I18">
        <v>0</v>
      </c>
      <c r="J18">
        <v>0</v>
      </c>
      <c r="K18">
        <v>0</v>
      </c>
      <c r="L18">
        <v>0</v>
      </c>
      <c r="M18">
        <v>2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1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</row>
    <row r="19" spans="1:39" ht="15.75" x14ac:dyDescent="0.25">
      <c r="A19" s="15"/>
      <c r="B19" s="15" t="s">
        <v>7</v>
      </c>
      <c r="C19" s="15" t="s">
        <v>8</v>
      </c>
      <c r="D19" s="15" t="s">
        <v>16</v>
      </c>
      <c r="E19" s="15">
        <v>1</v>
      </c>
      <c r="H19">
        <v>14</v>
      </c>
      <c r="I19">
        <v>0</v>
      </c>
      <c r="J19">
        <v>0</v>
      </c>
      <c r="K19">
        <v>0</v>
      </c>
      <c r="L19">
        <v>0</v>
      </c>
      <c r="M19">
        <v>1</v>
      </c>
      <c r="N19">
        <v>0</v>
      </c>
      <c r="O19">
        <v>1</v>
      </c>
      <c r="P19">
        <v>0</v>
      </c>
      <c r="Q19">
        <v>3</v>
      </c>
      <c r="R19">
        <v>0</v>
      </c>
      <c r="S19">
        <v>0</v>
      </c>
      <c r="T19">
        <v>0</v>
      </c>
      <c r="U19">
        <v>1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</row>
    <row r="20" spans="1:39" ht="15.75" x14ac:dyDescent="0.25">
      <c r="A20" s="15">
        <v>7</v>
      </c>
      <c r="B20" s="15" t="s">
        <v>7</v>
      </c>
      <c r="C20" s="15" t="s">
        <v>8</v>
      </c>
      <c r="D20" s="15" t="s">
        <v>16</v>
      </c>
      <c r="E20" s="15">
        <v>3</v>
      </c>
      <c r="H20">
        <v>15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1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</row>
    <row r="21" spans="1:39" ht="15.75" x14ac:dyDescent="0.25">
      <c r="A21" s="15">
        <v>8</v>
      </c>
      <c r="B21" s="15" t="s">
        <v>19</v>
      </c>
      <c r="C21" s="15" t="s">
        <v>26</v>
      </c>
      <c r="D21" s="15" t="s">
        <v>16</v>
      </c>
      <c r="E21" s="15">
        <v>4</v>
      </c>
      <c r="H21">
        <v>16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1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</row>
    <row r="22" spans="1:39" ht="15.75" x14ac:dyDescent="0.25">
      <c r="A22" s="15"/>
      <c r="B22" s="15" t="s">
        <v>19</v>
      </c>
      <c r="C22" s="15" t="s">
        <v>29</v>
      </c>
      <c r="D22" s="15" t="s">
        <v>67</v>
      </c>
      <c r="E22" s="15">
        <v>4</v>
      </c>
      <c r="H22">
        <v>17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</row>
    <row r="23" spans="1:39" ht="15.75" x14ac:dyDescent="0.25">
      <c r="A23" s="15">
        <v>9</v>
      </c>
      <c r="B23" s="15" t="s">
        <v>19</v>
      </c>
      <c r="C23" s="15" t="s">
        <v>20</v>
      </c>
      <c r="D23" s="15" t="s">
        <v>9</v>
      </c>
      <c r="E23" s="15">
        <v>2</v>
      </c>
      <c r="H23">
        <v>18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</row>
    <row r="24" spans="1:39" ht="15.75" x14ac:dyDescent="0.25">
      <c r="A24" s="15"/>
      <c r="B24" s="15" t="s">
        <v>19</v>
      </c>
      <c r="C24" s="15" t="s">
        <v>29</v>
      </c>
      <c r="D24" s="15" t="s">
        <v>67</v>
      </c>
      <c r="E24" s="15">
        <v>3</v>
      </c>
      <c r="H24">
        <v>19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</row>
    <row r="25" spans="1:39" ht="15.75" x14ac:dyDescent="0.25">
      <c r="A25" s="15">
        <v>10</v>
      </c>
      <c r="B25" s="15" t="s">
        <v>19</v>
      </c>
      <c r="C25" s="15" t="s">
        <v>29</v>
      </c>
      <c r="D25" s="15" t="s">
        <v>67</v>
      </c>
      <c r="E25" s="15">
        <v>3</v>
      </c>
      <c r="H25">
        <v>20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5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1</v>
      </c>
    </row>
    <row r="26" spans="1:39" ht="15.75" x14ac:dyDescent="0.25">
      <c r="A26" s="15">
        <v>11</v>
      </c>
      <c r="B26" s="15" t="s">
        <v>19</v>
      </c>
      <c r="C26" s="15" t="s">
        <v>29</v>
      </c>
      <c r="D26" s="15" t="s">
        <v>67</v>
      </c>
      <c r="E26" s="15">
        <v>1</v>
      </c>
      <c r="H26">
        <v>21</v>
      </c>
      <c r="I26">
        <v>0</v>
      </c>
      <c r="J26">
        <v>0</v>
      </c>
      <c r="K26">
        <v>1</v>
      </c>
      <c r="L26">
        <v>0</v>
      </c>
      <c r="M26">
        <v>0</v>
      </c>
      <c r="N26">
        <v>0</v>
      </c>
      <c r="O26">
        <v>8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</row>
    <row r="27" spans="1:39" ht="15.75" x14ac:dyDescent="0.25">
      <c r="A27" s="15">
        <v>12</v>
      </c>
      <c r="B27" s="15" t="s">
        <v>19</v>
      </c>
      <c r="C27" s="15" t="s">
        <v>20</v>
      </c>
      <c r="D27" s="15" t="s">
        <v>9</v>
      </c>
      <c r="E27" s="15">
        <v>6</v>
      </c>
      <c r="H27">
        <v>22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1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5</v>
      </c>
    </row>
    <row r="28" spans="1:39" ht="15.75" x14ac:dyDescent="0.25">
      <c r="A28" s="15">
        <v>13</v>
      </c>
      <c r="B28" s="15" t="s">
        <v>7</v>
      </c>
      <c r="C28" s="15" t="s">
        <v>27</v>
      </c>
      <c r="D28" s="15" t="s">
        <v>55</v>
      </c>
      <c r="E28" s="15">
        <v>1</v>
      </c>
      <c r="H28">
        <v>23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1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</row>
    <row r="29" spans="1:39" ht="15.75" x14ac:dyDescent="0.25">
      <c r="A29" s="15"/>
      <c r="B29" s="15" t="s">
        <v>19</v>
      </c>
      <c r="C29" s="15" t="s">
        <v>26</v>
      </c>
      <c r="D29" s="15" t="s">
        <v>16</v>
      </c>
      <c r="E29" s="15">
        <v>2</v>
      </c>
      <c r="H29">
        <v>24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</row>
    <row r="30" spans="1:39" ht="15.75" x14ac:dyDescent="0.25">
      <c r="A30" s="15">
        <v>14</v>
      </c>
      <c r="B30" s="15" t="s">
        <v>7</v>
      </c>
      <c r="C30" s="15" t="s">
        <v>8</v>
      </c>
      <c r="D30" s="15" t="s">
        <v>9</v>
      </c>
      <c r="E30" s="15">
        <v>1</v>
      </c>
      <c r="H30">
        <v>25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3</v>
      </c>
    </row>
    <row r="31" spans="1:39" ht="15.75" x14ac:dyDescent="0.25">
      <c r="A31" s="15"/>
      <c r="B31" s="15" t="s">
        <v>7</v>
      </c>
      <c r="C31" s="15" t="s">
        <v>8</v>
      </c>
      <c r="D31" s="15" t="s">
        <v>37</v>
      </c>
      <c r="E31" s="15">
        <v>3</v>
      </c>
      <c r="H31">
        <v>26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</row>
    <row r="32" spans="1:39" ht="15.75" x14ac:dyDescent="0.25">
      <c r="A32" s="15"/>
      <c r="B32" s="15" t="s">
        <v>19</v>
      </c>
      <c r="C32" s="15" t="s">
        <v>26</v>
      </c>
      <c r="D32" s="15" t="s">
        <v>16</v>
      </c>
      <c r="E32" s="15">
        <v>1</v>
      </c>
      <c r="H32">
        <v>27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</row>
    <row r="33" spans="1:39" ht="15.75" x14ac:dyDescent="0.25">
      <c r="A33" s="15"/>
      <c r="B33" s="15" t="s">
        <v>19</v>
      </c>
      <c r="C33" s="15" t="s">
        <v>20</v>
      </c>
      <c r="D33" s="15" t="s">
        <v>9</v>
      </c>
      <c r="E33" s="15">
        <v>1</v>
      </c>
      <c r="H33">
        <v>28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</row>
    <row r="34" spans="1:39" ht="15.75" x14ac:dyDescent="0.25">
      <c r="A34" s="15">
        <v>15</v>
      </c>
      <c r="B34" s="15" t="s">
        <v>7</v>
      </c>
      <c r="C34" s="15" t="s">
        <v>8</v>
      </c>
      <c r="D34" s="15" t="s">
        <v>18</v>
      </c>
      <c r="E34" s="15">
        <v>1</v>
      </c>
      <c r="H34">
        <v>29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</row>
    <row r="35" spans="1:39" ht="15.75" x14ac:dyDescent="0.25">
      <c r="A35" s="15">
        <v>16</v>
      </c>
      <c r="B35" s="15" t="s">
        <v>19</v>
      </c>
      <c r="C35" s="15" t="s">
        <v>20</v>
      </c>
      <c r="D35" s="15" t="s">
        <v>9</v>
      </c>
      <c r="E35" s="15">
        <v>1</v>
      </c>
      <c r="H35">
        <v>30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</row>
    <row r="36" spans="1:39" ht="15.75" x14ac:dyDescent="0.25">
      <c r="A36" s="15"/>
      <c r="B36" s="15" t="s">
        <v>7</v>
      </c>
      <c r="C36" s="15" t="s">
        <v>27</v>
      </c>
      <c r="D36" s="15" t="s">
        <v>55</v>
      </c>
      <c r="E36" s="15">
        <v>1</v>
      </c>
      <c r="H36">
        <v>31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</row>
    <row r="37" spans="1:39" ht="15.75" x14ac:dyDescent="0.25">
      <c r="A37" s="15">
        <v>17</v>
      </c>
      <c r="B37" s="15">
        <v>0</v>
      </c>
      <c r="C37" s="15"/>
      <c r="D37" s="15"/>
      <c r="E37" s="15"/>
      <c r="H37">
        <v>32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</row>
    <row r="38" spans="1:39" ht="15.75" x14ac:dyDescent="0.25">
      <c r="A38" s="15">
        <v>18</v>
      </c>
      <c r="B38" s="15">
        <v>0</v>
      </c>
      <c r="C38" s="15"/>
      <c r="D38" s="15"/>
      <c r="E38" s="15"/>
      <c r="H38">
        <v>33</v>
      </c>
      <c r="I38">
        <v>1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3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</row>
    <row r="39" spans="1:39" ht="15.75" x14ac:dyDescent="0.25">
      <c r="A39" s="15">
        <v>19</v>
      </c>
      <c r="B39" s="15">
        <v>0</v>
      </c>
      <c r="C39" s="15"/>
      <c r="D39" s="15"/>
      <c r="E39" s="15"/>
      <c r="H39">
        <v>34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</row>
    <row r="40" spans="1:39" ht="15.75" x14ac:dyDescent="0.25">
      <c r="A40" s="15">
        <v>20</v>
      </c>
      <c r="B40" s="15" t="s">
        <v>7</v>
      </c>
      <c r="C40" s="15" t="s">
        <v>8</v>
      </c>
      <c r="D40" s="15" t="s">
        <v>37</v>
      </c>
      <c r="E40" s="15">
        <v>5</v>
      </c>
      <c r="H40">
        <v>35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</row>
    <row r="41" spans="1:39" ht="15.75" x14ac:dyDescent="0.25">
      <c r="A41" s="15"/>
      <c r="B41" s="15" t="s">
        <v>19</v>
      </c>
      <c r="C41" s="15" t="s">
        <v>11</v>
      </c>
      <c r="D41" s="15" t="s">
        <v>67</v>
      </c>
      <c r="E41" s="15">
        <v>1</v>
      </c>
      <c r="H41">
        <v>36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1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</row>
    <row r="42" spans="1:39" ht="15.75" x14ac:dyDescent="0.25">
      <c r="A42" s="15">
        <v>21</v>
      </c>
      <c r="B42" s="15" t="s">
        <v>19</v>
      </c>
      <c r="C42" s="15" t="s">
        <v>20</v>
      </c>
      <c r="D42" s="15" t="s">
        <v>9</v>
      </c>
      <c r="E42" s="15">
        <v>8</v>
      </c>
      <c r="H42">
        <v>37</v>
      </c>
      <c r="I42">
        <v>0</v>
      </c>
      <c r="J42">
        <v>0</v>
      </c>
      <c r="K42">
        <v>3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</row>
    <row r="43" spans="1:39" ht="15.75" x14ac:dyDescent="0.25">
      <c r="A43" s="15"/>
      <c r="B43" s="15" t="s">
        <v>19</v>
      </c>
      <c r="C43" s="15" t="s">
        <v>21</v>
      </c>
      <c r="D43" s="15" t="s">
        <v>64</v>
      </c>
      <c r="E43" s="15">
        <v>1</v>
      </c>
      <c r="H43">
        <v>38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</row>
    <row r="44" spans="1:39" ht="15.75" x14ac:dyDescent="0.25">
      <c r="A44" s="15">
        <v>22</v>
      </c>
      <c r="B44" s="15" t="s">
        <v>7</v>
      </c>
      <c r="C44" s="15" t="s">
        <v>8</v>
      </c>
      <c r="D44" s="15" t="s">
        <v>9</v>
      </c>
      <c r="E44" s="15">
        <v>1</v>
      </c>
      <c r="H44">
        <v>39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1</v>
      </c>
      <c r="P44">
        <v>0</v>
      </c>
      <c r="Q44">
        <v>0</v>
      </c>
      <c r="R44">
        <v>0</v>
      </c>
      <c r="S44">
        <v>0</v>
      </c>
      <c r="T44">
        <v>3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</row>
    <row r="45" spans="1:39" ht="15.75" x14ac:dyDescent="0.25">
      <c r="A45" s="15"/>
      <c r="B45" s="15" t="s">
        <v>19</v>
      </c>
      <c r="C45" s="15" t="s">
        <v>11</v>
      </c>
      <c r="D45" s="15" t="s">
        <v>67</v>
      </c>
      <c r="E45" s="15">
        <v>5</v>
      </c>
      <c r="H45">
        <v>40</v>
      </c>
      <c r="I45">
        <v>0</v>
      </c>
      <c r="J45">
        <v>0</v>
      </c>
      <c r="K45">
        <v>0</v>
      </c>
      <c r="L45">
        <v>0</v>
      </c>
      <c r="M45">
        <v>6</v>
      </c>
      <c r="N45">
        <v>0</v>
      </c>
      <c r="O45">
        <v>2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</row>
    <row r="46" spans="1:39" ht="15.75" x14ac:dyDescent="0.25">
      <c r="A46" s="15">
        <v>23</v>
      </c>
      <c r="B46" s="15" t="s">
        <v>7</v>
      </c>
      <c r="C46" s="15" t="s">
        <v>8</v>
      </c>
      <c r="D46" s="15" t="s">
        <v>37</v>
      </c>
      <c r="E46" s="15">
        <v>1</v>
      </c>
      <c r="H46">
        <v>41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9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</row>
    <row r="47" spans="1:39" ht="15.75" x14ac:dyDescent="0.25">
      <c r="A47" s="15">
        <v>24</v>
      </c>
      <c r="B47" s="15">
        <v>0</v>
      </c>
      <c r="C47" s="15"/>
      <c r="D47" s="15"/>
      <c r="E47" s="15"/>
      <c r="H47">
        <v>42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3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</row>
    <row r="48" spans="1:39" ht="15.75" x14ac:dyDescent="0.25">
      <c r="A48" s="15">
        <v>25</v>
      </c>
      <c r="B48" s="15" t="s">
        <v>19</v>
      </c>
      <c r="C48" s="15" t="s">
        <v>11</v>
      </c>
      <c r="D48" s="15" t="s">
        <v>67</v>
      </c>
      <c r="E48" s="15">
        <v>3</v>
      </c>
      <c r="H48">
        <v>43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7</v>
      </c>
      <c r="T48">
        <v>0</v>
      </c>
      <c r="U48">
        <v>0</v>
      </c>
      <c r="V48">
        <v>5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</row>
    <row r="49" spans="1:39" ht="15.75" x14ac:dyDescent="0.25">
      <c r="A49" s="15">
        <v>26</v>
      </c>
      <c r="B49" s="15">
        <v>0</v>
      </c>
      <c r="C49" s="15"/>
      <c r="D49" s="15"/>
      <c r="E49" s="15"/>
      <c r="H49">
        <v>44</v>
      </c>
      <c r="I49">
        <v>0</v>
      </c>
      <c r="J49">
        <v>0</v>
      </c>
      <c r="K49">
        <v>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2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</row>
    <row r="50" spans="1:39" ht="15.75" x14ac:dyDescent="0.25">
      <c r="A50" s="15">
        <v>27</v>
      </c>
      <c r="B50" s="15">
        <v>0</v>
      </c>
      <c r="C50" s="15"/>
      <c r="D50" s="15"/>
      <c r="E50" s="15"/>
      <c r="H50">
        <v>45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</row>
    <row r="51" spans="1:39" ht="15.75" x14ac:dyDescent="0.25">
      <c r="A51" s="15">
        <v>28</v>
      </c>
      <c r="B51" s="15">
        <v>0</v>
      </c>
      <c r="C51" s="15"/>
      <c r="D51" s="15"/>
      <c r="E51" s="15"/>
      <c r="H51">
        <v>46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2</v>
      </c>
      <c r="R51">
        <v>0</v>
      </c>
      <c r="S51">
        <v>0</v>
      </c>
      <c r="T51">
        <v>0</v>
      </c>
      <c r="U51">
        <v>0</v>
      </c>
      <c r="V51">
        <v>1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</row>
    <row r="52" spans="1:39" ht="15.75" x14ac:dyDescent="0.25">
      <c r="A52" s="15">
        <v>29</v>
      </c>
      <c r="B52" s="15">
        <v>0</v>
      </c>
      <c r="C52" s="15"/>
      <c r="D52" s="15"/>
      <c r="E52" s="15"/>
      <c r="H52">
        <v>47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</row>
    <row r="53" spans="1:39" ht="15.75" x14ac:dyDescent="0.25">
      <c r="A53" s="15">
        <v>30</v>
      </c>
      <c r="B53" s="15">
        <v>0</v>
      </c>
      <c r="C53" s="15"/>
      <c r="D53" s="15"/>
      <c r="E53" s="15"/>
      <c r="H53">
        <v>48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3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2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</row>
    <row r="54" spans="1:39" ht="15.75" x14ac:dyDescent="0.25">
      <c r="A54" s="15">
        <v>31</v>
      </c>
      <c r="B54" s="15">
        <v>0</v>
      </c>
      <c r="C54" s="15"/>
      <c r="D54" s="15"/>
      <c r="E54" s="15"/>
      <c r="H54">
        <v>49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1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</row>
    <row r="55" spans="1:39" ht="15.75" x14ac:dyDescent="0.25">
      <c r="A55" s="15">
        <v>32</v>
      </c>
      <c r="B55" s="15">
        <v>0</v>
      </c>
      <c r="C55" s="15"/>
      <c r="D55" s="15"/>
      <c r="E55" s="15"/>
      <c r="H55">
        <v>50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</row>
    <row r="56" spans="1:39" ht="15.75" x14ac:dyDescent="0.25">
      <c r="A56" s="15">
        <v>33</v>
      </c>
      <c r="B56" s="15" t="s">
        <v>7</v>
      </c>
      <c r="C56" s="15" t="s">
        <v>8</v>
      </c>
      <c r="D56" s="15" t="s">
        <v>18</v>
      </c>
      <c r="E56" s="15">
        <v>3</v>
      </c>
      <c r="H56">
        <v>51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</row>
    <row r="57" spans="1:39" ht="15.75" x14ac:dyDescent="0.25">
      <c r="A57" s="15"/>
      <c r="B57" s="15" t="s">
        <v>22</v>
      </c>
      <c r="C57" s="15" t="s">
        <v>21</v>
      </c>
      <c r="D57" s="15" t="s">
        <v>9</v>
      </c>
      <c r="E57" s="15">
        <v>1</v>
      </c>
      <c r="H57">
        <v>52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</row>
    <row r="58" spans="1:39" ht="15.75" x14ac:dyDescent="0.25">
      <c r="A58" s="15">
        <v>34</v>
      </c>
      <c r="B58" s="15">
        <v>0</v>
      </c>
      <c r="C58" s="15"/>
      <c r="D58" s="15"/>
      <c r="E58" s="15"/>
      <c r="H58">
        <v>53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2</v>
      </c>
      <c r="R58">
        <v>0</v>
      </c>
      <c r="S58">
        <v>0</v>
      </c>
      <c r="T58">
        <v>0</v>
      </c>
      <c r="U58">
        <v>0</v>
      </c>
      <c r="V58">
        <v>1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</row>
    <row r="59" spans="1:39" ht="15.75" x14ac:dyDescent="0.25">
      <c r="A59" s="15">
        <v>35</v>
      </c>
      <c r="B59" s="15">
        <v>0</v>
      </c>
      <c r="C59" s="15"/>
      <c r="D59" s="15"/>
      <c r="E59" s="15"/>
      <c r="H59">
        <v>54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2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0</v>
      </c>
      <c r="AK59">
        <v>0</v>
      </c>
      <c r="AL59">
        <v>0</v>
      </c>
      <c r="AM59">
        <v>0</v>
      </c>
    </row>
    <row r="60" spans="1:39" ht="15.75" x14ac:dyDescent="0.25">
      <c r="A60" s="15">
        <v>36</v>
      </c>
      <c r="B60" s="15" t="s">
        <v>28</v>
      </c>
      <c r="C60" s="15" t="s">
        <v>8</v>
      </c>
      <c r="D60" s="15" t="s">
        <v>30</v>
      </c>
      <c r="E60" s="15">
        <v>1</v>
      </c>
      <c r="H60">
        <v>55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1</v>
      </c>
      <c r="U60">
        <v>0</v>
      </c>
      <c r="V60">
        <v>4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</row>
    <row r="61" spans="1:39" ht="15.75" x14ac:dyDescent="0.25">
      <c r="A61" s="15">
        <v>37</v>
      </c>
      <c r="B61" s="15" t="s">
        <v>7</v>
      </c>
      <c r="C61" s="15" t="s">
        <v>21</v>
      </c>
      <c r="D61" s="16" t="s">
        <v>64</v>
      </c>
      <c r="E61" s="15">
        <v>3</v>
      </c>
      <c r="H61">
        <v>56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1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</row>
    <row r="62" spans="1:39" ht="15.75" x14ac:dyDescent="0.25">
      <c r="A62" s="15">
        <v>38</v>
      </c>
      <c r="B62" s="15">
        <v>0</v>
      </c>
      <c r="C62" s="15"/>
      <c r="D62" s="15"/>
      <c r="E62" s="15"/>
      <c r="H62">
        <v>57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</row>
    <row r="63" spans="1:39" ht="15.75" x14ac:dyDescent="0.25">
      <c r="A63" s="15">
        <v>39</v>
      </c>
      <c r="B63" s="15" t="s">
        <v>28</v>
      </c>
      <c r="C63" s="15" t="s">
        <v>8</v>
      </c>
      <c r="D63" s="15" t="s">
        <v>30</v>
      </c>
      <c r="E63" s="15">
        <v>3</v>
      </c>
      <c r="H63">
        <v>58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</row>
    <row r="64" spans="1:39" ht="15.75" x14ac:dyDescent="0.25">
      <c r="A64" s="15"/>
      <c r="B64" s="15" t="s">
        <v>7</v>
      </c>
      <c r="C64" s="15" t="s">
        <v>27</v>
      </c>
      <c r="D64" s="15" t="s">
        <v>13</v>
      </c>
      <c r="E64" s="15">
        <v>1</v>
      </c>
      <c r="H64">
        <v>59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>
        <v>0</v>
      </c>
      <c r="AG64">
        <v>0</v>
      </c>
      <c r="AH64">
        <v>0</v>
      </c>
      <c r="AI64">
        <v>3</v>
      </c>
      <c r="AJ64">
        <v>0</v>
      </c>
      <c r="AK64">
        <v>0</v>
      </c>
      <c r="AL64">
        <v>0</v>
      </c>
      <c r="AM64">
        <v>0</v>
      </c>
    </row>
    <row r="65" spans="1:39" ht="15.75" x14ac:dyDescent="0.25">
      <c r="A65" s="15"/>
      <c r="B65" s="15" t="s">
        <v>19</v>
      </c>
      <c r="C65" s="15" t="s">
        <v>20</v>
      </c>
      <c r="D65" s="15" t="s">
        <v>9</v>
      </c>
      <c r="E65" s="15">
        <v>1</v>
      </c>
      <c r="H65">
        <v>60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</row>
    <row r="66" spans="1:39" ht="15.75" x14ac:dyDescent="0.25">
      <c r="A66" s="15">
        <v>40</v>
      </c>
      <c r="B66" s="15" t="s">
        <v>19</v>
      </c>
      <c r="C66" s="15" t="s">
        <v>26</v>
      </c>
      <c r="D66" s="15" t="s">
        <v>16</v>
      </c>
      <c r="E66" s="15">
        <v>6</v>
      </c>
      <c r="H66">
        <v>61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</row>
    <row r="67" spans="1:39" ht="15.75" x14ac:dyDescent="0.25">
      <c r="A67" s="15"/>
      <c r="B67" s="15" t="s">
        <v>19</v>
      </c>
      <c r="C67" s="15" t="s">
        <v>20</v>
      </c>
      <c r="D67" s="15" t="s">
        <v>9</v>
      </c>
      <c r="E67" s="15">
        <v>2</v>
      </c>
      <c r="H67">
        <v>62</v>
      </c>
      <c r="I67">
        <v>2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</row>
    <row r="68" spans="1:39" ht="15.75" x14ac:dyDescent="0.25">
      <c r="A68" s="15">
        <v>41</v>
      </c>
      <c r="B68" s="15" t="s">
        <v>7</v>
      </c>
      <c r="C68" s="15" t="s">
        <v>8</v>
      </c>
      <c r="D68" s="15" t="s">
        <v>37</v>
      </c>
      <c r="E68" s="15">
        <v>9</v>
      </c>
      <c r="H68">
        <v>63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1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</row>
    <row r="69" spans="1:39" ht="15.75" x14ac:dyDescent="0.25">
      <c r="A69" s="15">
        <v>42</v>
      </c>
      <c r="B69" s="15" t="s">
        <v>7</v>
      </c>
      <c r="C69" s="15" t="s">
        <v>8</v>
      </c>
      <c r="D69" s="15" t="s">
        <v>37</v>
      </c>
      <c r="E69" s="15">
        <v>3</v>
      </c>
      <c r="H69">
        <v>64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1</v>
      </c>
      <c r="AI69">
        <v>0</v>
      </c>
      <c r="AJ69">
        <v>0</v>
      </c>
      <c r="AK69">
        <v>0</v>
      </c>
      <c r="AL69">
        <v>0</v>
      </c>
      <c r="AM69">
        <v>0</v>
      </c>
    </row>
    <row r="70" spans="1:39" ht="15.75" x14ac:dyDescent="0.25">
      <c r="A70" s="15">
        <v>43</v>
      </c>
      <c r="B70" s="15" t="s">
        <v>7</v>
      </c>
      <c r="C70" s="15" t="s">
        <v>8</v>
      </c>
      <c r="D70" s="15" t="s">
        <v>18</v>
      </c>
      <c r="E70" s="15">
        <v>7</v>
      </c>
      <c r="H70">
        <v>65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</row>
    <row r="71" spans="1:39" ht="15.75" x14ac:dyDescent="0.25">
      <c r="A71" s="15"/>
      <c r="B71" s="15" t="s">
        <v>7</v>
      </c>
      <c r="C71" s="15" t="s">
        <v>8</v>
      </c>
      <c r="D71" s="15" t="s">
        <v>16</v>
      </c>
      <c r="E71" s="15">
        <v>5</v>
      </c>
      <c r="H71">
        <v>66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</row>
    <row r="72" spans="1:39" ht="15.75" x14ac:dyDescent="0.25">
      <c r="A72" s="15">
        <v>44</v>
      </c>
      <c r="B72" s="15" t="s">
        <v>7</v>
      </c>
      <c r="C72" s="15" t="s">
        <v>8</v>
      </c>
      <c r="D72" s="15" t="s">
        <v>16</v>
      </c>
      <c r="E72" s="15">
        <v>2</v>
      </c>
      <c r="H72">
        <v>67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1</v>
      </c>
      <c r="AI72">
        <v>0</v>
      </c>
      <c r="AJ72">
        <v>0</v>
      </c>
      <c r="AK72">
        <v>0</v>
      </c>
      <c r="AL72">
        <v>0</v>
      </c>
      <c r="AM72">
        <v>0</v>
      </c>
    </row>
    <row r="73" spans="1:39" ht="15.75" x14ac:dyDescent="0.25">
      <c r="A73" s="15"/>
      <c r="B73" s="15" t="s">
        <v>19</v>
      </c>
      <c r="C73" s="17" t="s">
        <v>21</v>
      </c>
      <c r="D73" s="16" t="s">
        <v>64</v>
      </c>
      <c r="E73" s="15">
        <v>3</v>
      </c>
      <c r="H73">
        <v>68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2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</row>
    <row r="74" spans="1:39" ht="15.75" x14ac:dyDescent="0.25">
      <c r="A74" s="15">
        <v>45</v>
      </c>
      <c r="B74" s="15">
        <v>0</v>
      </c>
      <c r="C74" s="15"/>
      <c r="D74" s="15"/>
      <c r="E74" s="15"/>
      <c r="H74">
        <v>69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2</v>
      </c>
      <c r="AI74">
        <v>0</v>
      </c>
      <c r="AJ74">
        <v>0</v>
      </c>
      <c r="AK74">
        <v>0</v>
      </c>
      <c r="AL74">
        <v>0</v>
      </c>
      <c r="AM74">
        <v>0</v>
      </c>
    </row>
    <row r="75" spans="1:39" ht="15.75" x14ac:dyDescent="0.25">
      <c r="A75" s="15">
        <v>46</v>
      </c>
      <c r="B75" s="15" t="s">
        <v>7</v>
      </c>
      <c r="C75" s="15" t="s">
        <v>8</v>
      </c>
      <c r="D75" s="15" t="s">
        <v>16</v>
      </c>
      <c r="E75" s="15">
        <v>1</v>
      </c>
      <c r="H75">
        <v>70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</row>
    <row r="76" spans="1:39" ht="15.75" x14ac:dyDescent="0.25">
      <c r="A76" s="15"/>
      <c r="B76" s="15" t="s">
        <v>7</v>
      </c>
      <c r="C76" s="15" t="s">
        <v>8</v>
      </c>
      <c r="D76" s="15" t="s">
        <v>37</v>
      </c>
      <c r="E76" s="15">
        <v>2</v>
      </c>
      <c r="H76">
        <v>71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2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</row>
    <row r="77" spans="1:39" ht="15.75" x14ac:dyDescent="0.25">
      <c r="A77" s="15">
        <v>47</v>
      </c>
      <c r="B77" s="15">
        <v>0</v>
      </c>
      <c r="C77" s="15"/>
      <c r="D77" s="15"/>
      <c r="E77" s="15"/>
      <c r="H77">
        <v>72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</row>
    <row r="78" spans="1:39" ht="15.75" x14ac:dyDescent="0.25">
      <c r="A78" s="15">
        <v>48</v>
      </c>
      <c r="B78" s="15" t="s">
        <v>7</v>
      </c>
      <c r="C78" s="15" t="s">
        <v>27</v>
      </c>
      <c r="D78" s="15" t="s">
        <v>13</v>
      </c>
      <c r="E78" s="15">
        <v>2</v>
      </c>
      <c r="H78">
        <v>73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</row>
    <row r="79" spans="1:39" ht="15.75" x14ac:dyDescent="0.25">
      <c r="A79" s="15"/>
      <c r="B79" s="15" t="s">
        <v>7</v>
      </c>
      <c r="C79" s="15" t="s">
        <v>8</v>
      </c>
      <c r="D79" s="15" t="s">
        <v>37</v>
      </c>
      <c r="E79" s="15">
        <v>3</v>
      </c>
      <c r="H79">
        <v>74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</row>
    <row r="80" spans="1:39" ht="15.75" x14ac:dyDescent="0.25">
      <c r="A80" s="15">
        <v>49</v>
      </c>
      <c r="B80" s="15" t="s">
        <v>7</v>
      </c>
      <c r="C80" s="15" t="s">
        <v>8</v>
      </c>
      <c r="D80" s="15" t="s">
        <v>37</v>
      </c>
      <c r="E80" s="15">
        <v>1</v>
      </c>
      <c r="H80">
        <v>75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</row>
    <row r="81" spans="1:40" ht="15.75" x14ac:dyDescent="0.25">
      <c r="A81" s="15">
        <v>50</v>
      </c>
      <c r="B81" s="15">
        <v>0</v>
      </c>
      <c r="C81" s="15"/>
      <c r="D81" s="15"/>
      <c r="E81" s="15"/>
      <c r="H81">
        <v>76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</row>
    <row r="82" spans="1:40" ht="15.75" x14ac:dyDescent="0.25">
      <c r="A82" s="15">
        <v>51</v>
      </c>
      <c r="B82" s="15">
        <v>0</v>
      </c>
      <c r="C82" s="15"/>
      <c r="D82" s="15"/>
      <c r="E82" s="15"/>
      <c r="H82">
        <v>77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</row>
    <row r="83" spans="1:40" ht="15.75" x14ac:dyDescent="0.25">
      <c r="A83" s="15">
        <v>52</v>
      </c>
      <c r="B83" s="15">
        <v>0</v>
      </c>
      <c r="C83" s="15"/>
      <c r="D83" s="15"/>
      <c r="E83" s="15"/>
      <c r="H83">
        <v>78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2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</row>
    <row r="84" spans="1:40" ht="15.75" x14ac:dyDescent="0.25">
      <c r="A84" s="15">
        <v>53</v>
      </c>
      <c r="B84" s="15" t="s">
        <v>7</v>
      </c>
      <c r="C84" s="15" t="s">
        <v>8</v>
      </c>
      <c r="D84" s="15" t="s">
        <v>37</v>
      </c>
      <c r="E84" s="15">
        <v>2</v>
      </c>
      <c r="H84">
        <v>79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</row>
    <row r="85" spans="1:40" ht="15.75" x14ac:dyDescent="0.25">
      <c r="A85" s="15"/>
      <c r="B85" s="15" t="s">
        <v>7</v>
      </c>
      <c r="C85" s="15" t="s">
        <v>8</v>
      </c>
      <c r="D85" s="15" t="s">
        <v>16</v>
      </c>
      <c r="E85" s="15">
        <v>1</v>
      </c>
      <c r="H85">
        <v>80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</row>
    <row r="86" spans="1:40" ht="15.75" x14ac:dyDescent="0.25">
      <c r="A86" s="15">
        <v>54</v>
      </c>
      <c r="B86" s="15" t="s">
        <v>7</v>
      </c>
      <c r="C86" s="15" t="s">
        <v>8</v>
      </c>
      <c r="D86" s="15" t="s">
        <v>18</v>
      </c>
      <c r="E86" s="15">
        <v>2</v>
      </c>
      <c r="I86">
        <f>SUM(I6:I85)</f>
        <v>3</v>
      </c>
      <c r="J86">
        <f t="shared" ref="J86:AM86" si="0">SUM(J6:J85)</f>
        <v>0</v>
      </c>
      <c r="K86">
        <f t="shared" si="0"/>
        <v>7</v>
      </c>
      <c r="L86">
        <f t="shared" si="0"/>
        <v>10</v>
      </c>
      <c r="M86">
        <f t="shared" si="0"/>
        <v>13</v>
      </c>
      <c r="N86">
        <f t="shared" si="0"/>
        <v>13</v>
      </c>
      <c r="O86">
        <f t="shared" si="0"/>
        <v>21</v>
      </c>
      <c r="P86">
        <f t="shared" si="0"/>
        <v>0</v>
      </c>
      <c r="Q86">
        <f t="shared" si="0"/>
        <v>29</v>
      </c>
      <c r="R86">
        <f t="shared" si="0"/>
        <v>0</v>
      </c>
      <c r="S86">
        <f t="shared" si="0"/>
        <v>19</v>
      </c>
      <c r="T86">
        <f t="shared" si="0"/>
        <v>7</v>
      </c>
      <c r="U86">
        <f t="shared" si="0"/>
        <v>11</v>
      </c>
      <c r="V86">
        <f t="shared" si="0"/>
        <v>19</v>
      </c>
      <c r="W86">
        <f t="shared" si="0"/>
        <v>0</v>
      </c>
      <c r="X86">
        <f t="shared" si="0"/>
        <v>0</v>
      </c>
      <c r="Y86">
        <f t="shared" si="0"/>
        <v>0</v>
      </c>
      <c r="Z86">
        <f t="shared" si="0"/>
        <v>0</v>
      </c>
      <c r="AA86">
        <f t="shared" si="0"/>
        <v>0</v>
      </c>
      <c r="AB86">
        <f t="shared" si="0"/>
        <v>0</v>
      </c>
      <c r="AC86">
        <f t="shared" si="0"/>
        <v>2</v>
      </c>
      <c r="AD86">
        <f t="shared" si="0"/>
        <v>16</v>
      </c>
      <c r="AE86">
        <f t="shared" si="0"/>
        <v>0</v>
      </c>
      <c r="AF86">
        <f t="shared" si="0"/>
        <v>0</v>
      </c>
      <c r="AG86">
        <f t="shared" si="0"/>
        <v>0</v>
      </c>
      <c r="AH86">
        <f t="shared" si="0"/>
        <v>4</v>
      </c>
      <c r="AI86">
        <f t="shared" si="0"/>
        <v>5</v>
      </c>
      <c r="AJ86">
        <f t="shared" si="0"/>
        <v>0</v>
      </c>
      <c r="AK86">
        <f t="shared" si="0"/>
        <v>0</v>
      </c>
      <c r="AL86">
        <f t="shared" si="0"/>
        <v>12</v>
      </c>
      <c r="AM86">
        <f t="shared" si="0"/>
        <v>9</v>
      </c>
      <c r="AN86">
        <f>SUM(I86:AM86)</f>
        <v>200</v>
      </c>
    </row>
    <row r="87" spans="1:40" ht="15.75" x14ac:dyDescent="0.25">
      <c r="A87" s="15"/>
      <c r="B87" s="15" t="s">
        <v>28</v>
      </c>
      <c r="C87" s="15" t="s">
        <v>25</v>
      </c>
      <c r="D87" s="15" t="s">
        <v>69</v>
      </c>
      <c r="E87" s="15">
        <v>1</v>
      </c>
    </row>
    <row r="88" spans="1:40" ht="15.75" x14ac:dyDescent="0.25">
      <c r="A88" s="15">
        <v>55</v>
      </c>
      <c r="B88" s="15" t="s">
        <v>28</v>
      </c>
      <c r="C88" s="15" t="s">
        <v>8</v>
      </c>
      <c r="D88" s="15" t="s">
        <v>30</v>
      </c>
      <c r="E88" s="15">
        <v>1</v>
      </c>
    </row>
    <row r="89" spans="1:40" ht="15.75" x14ac:dyDescent="0.25">
      <c r="A89" s="15"/>
      <c r="B89" s="15" t="s">
        <v>7</v>
      </c>
      <c r="C89" s="15" t="s">
        <v>8</v>
      </c>
      <c r="D89" s="15" t="s">
        <v>16</v>
      </c>
      <c r="E89" s="15">
        <v>4</v>
      </c>
    </row>
    <row r="90" spans="1:40" ht="15.75" x14ac:dyDescent="0.25">
      <c r="A90" s="15">
        <v>56</v>
      </c>
      <c r="B90" s="15" t="s">
        <v>7</v>
      </c>
      <c r="C90" s="15" t="s">
        <v>8</v>
      </c>
      <c r="D90" s="15" t="s">
        <v>16</v>
      </c>
      <c r="E90" s="15">
        <v>1</v>
      </c>
    </row>
    <row r="91" spans="1:40" ht="15.75" x14ac:dyDescent="0.25">
      <c r="A91" s="15">
        <v>57</v>
      </c>
      <c r="B91" s="15">
        <v>0</v>
      </c>
      <c r="C91" s="15"/>
      <c r="D91" s="15"/>
      <c r="E91" s="15"/>
    </row>
    <row r="92" spans="1:40" ht="15.75" x14ac:dyDescent="0.25">
      <c r="A92" s="15">
        <v>58</v>
      </c>
      <c r="B92" s="15">
        <v>0</v>
      </c>
      <c r="C92" s="15"/>
      <c r="D92" s="15"/>
      <c r="E92" s="15"/>
    </row>
    <row r="93" spans="1:40" ht="15.75" x14ac:dyDescent="0.25">
      <c r="A93" s="15">
        <v>59</v>
      </c>
      <c r="B93" s="15" t="s">
        <v>22</v>
      </c>
      <c r="C93" s="15" t="s">
        <v>25</v>
      </c>
      <c r="D93" s="15" t="s">
        <v>69</v>
      </c>
      <c r="E93" s="15">
        <v>3</v>
      </c>
    </row>
    <row r="94" spans="1:40" ht="15.75" x14ac:dyDescent="0.25">
      <c r="A94" s="15"/>
      <c r="B94" s="15" t="s">
        <v>7</v>
      </c>
      <c r="C94" s="15" t="s">
        <v>27</v>
      </c>
      <c r="D94" s="15" t="s">
        <v>13</v>
      </c>
      <c r="E94" s="15">
        <v>1</v>
      </c>
    </row>
    <row r="95" spans="1:40" ht="15.75" x14ac:dyDescent="0.25">
      <c r="A95" s="15">
        <v>60</v>
      </c>
      <c r="B95" s="15">
        <v>0</v>
      </c>
      <c r="C95" s="15"/>
      <c r="D95" s="15"/>
      <c r="E95" s="15"/>
    </row>
    <row r="96" spans="1:40" ht="15.75" x14ac:dyDescent="0.25">
      <c r="A96" s="15">
        <v>61</v>
      </c>
      <c r="B96" s="15" t="s">
        <v>28</v>
      </c>
      <c r="C96" s="15" t="s">
        <v>8</v>
      </c>
      <c r="D96" s="15" t="s">
        <v>30</v>
      </c>
      <c r="E96" s="15">
        <v>2</v>
      </c>
    </row>
    <row r="97" spans="1:5" ht="15.75" x14ac:dyDescent="0.25">
      <c r="A97" s="15">
        <v>62</v>
      </c>
      <c r="B97" s="15" t="s">
        <v>22</v>
      </c>
      <c r="C97" s="15" t="s">
        <v>21</v>
      </c>
      <c r="D97" s="15" t="s">
        <v>9</v>
      </c>
      <c r="E97" s="15">
        <v>2</v>
      </c>
    </row>
    <row r="98" spans="1:5" ht="15.75" x14ac:dyDescent="0.25">
      <c r="A98" s="15"/>
      <c r="B98" s="15" t="s">
        <v>7</v>
      </c>
      <c r="C98" s="15" t="s">
        <v>27</v>
      </c>
      <c r="D98" s="15" t="s">
        <v>13</v>
      </c>
      <c r="E98" s="15">
        <v>1</v>
      </c>
    </row>
    <row r="99" spans="1:5" ht="15.75" x14ac:dyDescent="0.25">
      <c r="A99" s="15">
        <v>63</v>
      </c>
      <c r="B99" s="15" t="s">
        <v>7</v>
      </c>
      <c r="C99" s="15" t="s">
        <v>10</v>
      </c>
      <c r="D99" s="15" t="s">
        <v>9</v>
      </c>
      <c r="E99" s="15">
        <v>1</v>
      </c>
    </row>
    <row r="100" spans="1:5" ht="15.75" x14ac:dyDescent="0.25">
      <c r="A100" s="15"/>
      <c r="B100" s="15" t="s">
        <v>7</v>
      </c>
      <c r="C100" s="15" t="s">
        <v>8</v>
      </c>
      <c r="D100" s="15" t="s">
        <v>18</v>
      </c>
      <c r="E100" s="15">
        <v>1</v>
      </c>
    </row>
    <row r="101" spans="1:5" ht="15.75" x14ac:dyDescent="0.25">
      <c r="A101" s="15">
        <v>64</v>
      </c>
      <c r="B101" s="15" t="s">
        <v>7</v>
      </c>
      <c r="C101" s="15" t="s">
        <v>57</v>
      </c>
      <c r="D101" s="15" t="s">
        <v>58</v>
      </c>
      <c r="E101" s="15">
        <v>1</v>
      </c>
    </row>
    <row r="102" spans="1:5" ht="15.75" x14ac:dyDescent="0.25">
      <c r="A102" s="15">
        <v>65</v>
      </c>
      <c r="B102" s="15" t="s">
        <v>7</v>
      </c>
      <c r="C102" s="15" t="s">
        <v>8</v>
      </c>
      <c r="D102" s="15" t="s">
        <v>18</v>
      </c>
      <c r="E102" s="15">
        <v>2</v>
      </c>
    </row>
    <row r="103" spans="1:5" ht="15.75" x14ac:dyDescent="0.25">
      <c r="A103" s="15">
        <v>66</v>
      </c>
      <c r="B103" s="15" t="s">
        <v>7</v>
      </c>
      <c r="C103" s="15" t="s">
        <v>8</v>
      </c>
      <c r="D103" s="15" t="s">
        <v>18</v>
      </c>
      <c r="E103" s="15">
        <v>1</v>
      </c>
    </row>
    <row r="104" spans="1:5" ht="15.75" x14ac:dyDescent="0.25">
      <c r="A104" s="15">
        <v>67</v>
      </c>
      <c r="B104" s="15" t="s">
        <v>7</v>
      </c>
      <c r="C104" s="15" t="s">
        <v>57</v>
      </c>
      <c r="D104" s="15" t="s">
        <v>58</v>
      </c>
      <c r="E104" s="15">
        <v>1</v>
      </c>
    </row>
    <row r="105" spans="1:5" ht="15.75" x14ac:dyDescent="0.25">
      <c r="A105" s="15">
        <v>68</v>
      </c>
      <c r="B105" s="15" t="s">
        <v>7</v>
      </c>
      <c r="C105" s="15" t="s">
        <v>27</v>
      </c>
      <c r="D105" s="15" t="s">
        <v>13</v>
      </c>
      <c r="E105" s="15">
        <v>2</v>
      </c>
    </row>
    <row r="106" spans="1:5" ht="15.75" x14ac:dyDescent="0.25">
      <c r="A106" s="15">
        <v>69</v>
      </c>
      <c r="B106" s="15" t="s">
        <v>7</v>
      </c>
      <c r="C106" s="15" t="s">
        <v>57</v>
      </c>
      <c r="D106" s="15" t="s">
        <v>58</v>
      </c>
      <c r="E106" s="15">
        <v>2</v>
      </c>
    </row>
    <row r="107" spans="1:5" ht="15.75" x14ac:dyDescent="0.25">
      <c r="A107" s="15">
        <v>70</v>
      </c>
      <c r="B107" s="15" t="s">
        <v>7</v>
      </c>
      <c r="C107" s="15" t="s">
        <v>27</v>
      </c>
      <c r="D107" s="15" t="s">
        <v>13</v>
      </c>
      <c r="E107" s="15">
        <v>1</v>
      </c>
    </row>
    <row r="108" spans="1:5" ht="15.75" x14ac:dyDescent="0.25">
      <c r="A108" s="15">
        <v>71</v>
      </c>
      <c r="B108" s="15" t="s">
        <v>7</v>
      </c>
      <c r="C108" s="15" t="s">
        <v>27</v>
      </c>
      <c r="D108" s="15" t="s">
        <v>13</v>
      </c>
      <c r="E108" s="15">
        <v>2</v>
      </c>
    </row>
    <row r="109" spans="1:5" ht="15.75" x14ac:dyDescent="0.25">
      <c r="A109" s="15">
        <v>72</v>
      </c>
      <c r="B109" s="15">
        <v>0</v>
      </c>
      <c r="C109" s="15"/>
      <c r="D109" s="15"/>
      <c r="E109" s="15"/>
    </row>
    <row r="110" spans="1:5" ht="15.75" x14ac:dyDescent="0.25">
      <c r="A110" s="15">
        <v>73</v>
      </c>
      <c r="B110" s="15">
        <v>0</v>
      </c>
      <c r="C110" s="15"/>
      <c r="D110" s="15"/>
      <c r="E110" s="15"/>
    </row>
    <row r="111" spans="1:5" ht="15.75" x14ac:dyDescent="0.25">
      <c r="A111" s="15">
        <v>74</v>
      </c>
      <c r="B111" s="15">
        <v>0</v>
      </c>
      <c r="C111" s="15"/>
      <c r="D111" s="15"/>
      <c r="E111" s="15"/>
    </row>
    <row r="112" spans="1:5" ht="15.75" x14ac:dyDescent="0.25">
      <c r="A112" s="15">
        <v>75</v>
      </c>
      <c r="B112" s="15">
        <v>0</v>
      </c>
      <c r="C112" s="15"/>
      <c r="D112" s="15"/>
      <c r="E112" s="15"/>
    </row>
    <row r="113" spans="1:18" ht="15.75" x14ac:dyDescent="0.25">
      <c r="A113" s="15">
        <v>76</v>
      </c>
      <c r="B113" s="15">
        <v>0</v>
      </c>
      <c r="C113" s="15"/>
      <c r="D113" s="15"/>
      <c r="E113" s="15"/>
    </row>
    <row r="114" spans="1:18" ht="15.75" x14ac:dyDescent="0.25">
      <c r="A114" s="15">
        <v>77</v>
      </c>
      <c r="B114" s="15">
        <v>0</v>
      </c>
      <c r="C114" s="15"/>
      <c r="D114" s="15"/>
      <c r="E114" s="15"/>
    </row>
    <row r="115" spans="1:18" ht="15.75" x14ac:dyDescent="0.25">
      <c r="A115" s="15">
        <v>78</v>
      </c>
      <c r="B115" s="15" t="s">
        <v>7</v>
      </c>
      <c r="C115" s="15" t="s">
        <v>8</v>
      </c>
      <c r="D115" s="15" t="s">
        <v>18</v>
      </c>
      <c r="E115" s="15">
        <v>2</v>
      </c>
    </row>
    <row r="116" spans="1:18" ht="15.75" x14ac:dyDescent="0.25">
      <c r="A116" s="15">
        <v>79</v>
      </c>
      <c r="B116" s="15">
        <v>0</v>
      </c>
      <c r="C116" s="15"/>
      <c r="D116" s="15"/>
      <c r="E116" s="15"/>
    </row>
    <row r="117" spans="1:18" ht="15.75" x14ac:dyDescent="0.25">
      <c r="A117" s="15">
        <v>80</v>
      </c>
      <c r="B117" s="15">
        <v>0</v>
      </c>
      <c r="C117" s="15"/>
      <c r="D117" s="15"/>
      <c r="E117" s="15"/>
    </row>
    <row r="118" spans="1:18" x14ac:dyDescent="0.25">
      <c r="E118">
        <f>SUM(E6:E117)</f>
        <v>200</v>
      </c>
    </row>
    <row r="120" spans="1:18" ht="15.75" x14ac:dyDescent="0.25">
      <c r="G120" t="s">
        <v>98</v>
      </c>
      <c r="H120" s="11" t="s">
        <v>6</v>
      </c>
      <c r="I120" s="11" t="s">
        <v>88</v>
      </c>
      <c r="J120" s="11" t="s">
        <v>3</v>
      </c>
      <c r="K120" s="11" t="s">
        <v>65</v>
      </c>
      <c r="L120" s="11" t="s">
        <v>66</v>
      </c>
      <c r="N120" t="s">
        <v>6</v>
      </c>
      <c r="O120" t="s">
        <v>137</v>
      </c>
      <c r="Q120" t="s">
        <v>6</v>
      </c>
      <c r="R120" t="s">
        <v>138</v>
      </c>
    </row>
    <row r="121" spans="1:18" ht="15.75" x14ac:dyDescent="0.25">
      <c r="G121">
        <v>1</v>
      </c>
      <c r="H121" s="31" t="s">
        <v>22</v>
      </c>
      <c r="I121" s="31" t="s">
        <v>89</v>
      </c>
      <c r="J121" s="31" t="s">
        <v>21</v>
      </c>
      <c r="K121" s="31" t="s">
        <v>9</v>
      </c>
      <c r="L121" s="32">
        <f>SUM(E57,E97)</f>
        <v>3</v>
      </c>
      <c r="N121" t="s">
        <v>22</v>
      </c>
      <c r="O121">
        <v>3</v>
      </c>
      <c r="Q121" t="s">
        <v>22</v>
      </c>
      <c r="R121">
        <f>SUM(L121:L123)</f>
        <v>20</v>
      </c>
    </row>
    <row r="122" spans="1:18" ht="15.75" x14ac:dyDescent="0.25">
      <c r="G122">
        <v>2</v>
      </c>
      <c r="H122" s="32"/>
      <c r="I122" s="32" t="s">
        <v>95</v>
      </c>
      <c r="J122" s="32" t="s">
        <v>25</v>
      </c>
      <c r="K122" s="16" t="s">
        <v>69</v>
      </c>
      <c r="L122" s="32">
        <f>SUM(E15,E87,E93)</f>
        <v>5</v>
      </c>
      <c r="N122" t="s">
        <v>19</v>
      </c>
      <c r="O122">
        <v>5</v>
      </c>
      <c r="Q122" t="s">
        <v>19</v>
      </c>
      <c r="R122">
        <f>SUM(L133:L137)</f>
        <v>63</v>
      </c>
    </row>
    <row r="123" spans="1:18" x14ac:dyDescent="0.25">
      <c r="G123">
        <v>3</v>
      </c>
      <c r="H123" s="32"/>
      <c r="I123" s="32" t="s">
        <v>93</v>
      </c>
      <c r="J123" s="32" t="s">
        <v>11</v>
      </c>
      <c r="K123" s="32" t="s">
        <v>60</v>
      </c>
      <c r="L123" s="32">
        <f>SUM(E14)</f>
        <v>12</v>
      </c>
      <c r="N123" t="s">
        <v>7</v>
      </c>
      <c r="O123">
        <v>7</v>
      </c>
      <c r="Q123" t="s">
        <v>7</v>
      </c>
      <c r="R123">
        <f>SUM(L124:L130)</f>
        <v>100</v>
      </c>
    </row>
    <row r="124" spans="1:18" ht="15.75" x14ac:dyDescent="0.25">
      <c r="G124">
        <v>4</v>
      </c>
      <c r="H124" s="31" t="s">
        <v>7</v>
      </c>
      <c r="I124" s="31" t="s">
        <v>91</v>
      </c>
      <c r="J124" s="16" t="s">
        <v>8</v>
      </c>
      <c r="K124" s="16" t="s">
        <v>37</v>
      </c>
      <c r="L124" s="32">
        <f>SUM(E31,E40,E46,E68,E69,E76,E79,E80,E84)</f>
        <v>29</v>
      </c>
      <c r="N124" t="s">
        <v>28</v>
      </c>
      <c r="O124">
        <v>2</v>
      </c>
      <c r="Q124" t="s">
        <v>28</v>
      </c>
      <c r="R124">
        <f>SUM(L131:L132)</f>
        <v>17</v>
      </c>
    </row>
    <row r="125" spans="1:18" ht="15.75" x14ac:dyDescent="0.25">
      <c r="G125">
        <v>5</v>
      </c>
      <c r="H125" s="32"/>
      <c r="I125" s="31" t="s">
        <v>91</v>
      </c>
      <c r="J125" s="16" t="s">
        <v>8</v>
      </c>
      <c r="K125" s="16" t="s">
        <v>18</v>
      </c>
      <c r="L125" s="32">
        <f>SUM(E34,E56,E70,E86,E100,E102,E103,E115)</f>
        <v>19</v>
      </c>
    </row>
    <row r="126" spans="1:18" ht="15.75" x14ac:dyDescent="0.25">
      <c r="G126">
        <v>6</v>
      </c>
      <c r="H126" s="32"/>
      <c r="I126" s="31" t="s">
        <v>91</v>
      </c>
      <c r="J126" s="16" t="s">
        <v>8</v>
      </c>
      <c r="K126" s="31" t="s">
        <v>9</v>
      </c>
      <c r="L126" s="32">
        <f>SUM(E7,E8,E11,E12,E16,E30,E99,E13)</f>
        <v>11</v>
      </c>
    </row>
    <row r="127" spans="1:18" ht="15.75" x14ac:dyDescent="0.25">
      <c r="G127">
        <v>7</v>
      </c>
      <c r="H127" s="32"/>
      <c r="I127" s="31" t="s">
        <v>91</v>
      </c>
      <c r="J127" s="16" t="s">
        <v>8</v>
      </c>
      <c r="K127" s="31" t="s">
        <v>16</v>
      </c>
      <c r="L127" s="32">
        <f>SUM(E8,E20,E19,E71,E72,E75,E85,E89,E90)</f>
        <v>19</v>
      </c>
    </row>
    <row r="128" spans="1:18" ht="15.75" x14ac:dyDescent="0.25">
      <c r="G128">
        <v>8</v>
      </c>
      <c r="H128" s="33"/>
      <c r="I128" s="31" t="s">
        <v>91</v>
      </c>
      <c r="J128" s="15" t="s">
        <v>27</v>
      </c>
      <c r="K128" s="15" t="s">
        <v>55</v>
      </c>
      <c r="L128" s="15">
        <f>SUM(E28,E36)</f>
        <v>2</v>
      </c>
    </row>
    <row r="129" spans="7:16" ht="15.75" x14ac:dyDescent="0.25">
      <c r="G129">
        <v>9</v>
      </c>
      <c r="H129" s="32"/>
      <c r="I129" s="31" t="s">
        <v>91</v>
      </c>
      <c r="J129" s="32" t="s">
        <v>12</v>
      </c>
      <c r="K129" s="16" t="s">
        <v>13</v>
      </c>
      <c r="L129" s="32">
        <f>SUM(E10,E64,E78,E94,E98,E107,E105,E108)</f>
        <v>16</v>
      </c>
    </row>
    <row r="130" spans="7:16" ht="15.75" x14ac:dyDescent="0.25">
      <c r="G130">
        <v>10</v>
      </c>
      <c r="H130" s="33"/>
      <c r="I130" s="33" t="s">
        <v>94</v>
      </c>
      <c r="J130" s="15" t="s">
        <v>57</v>
      </c>
      <c r="K130" s="15" t="s">
        <v>58</v>
      </c>
      <c r="L130" s="33">
        <f>SUM(E101,E104,E106)</f>
        <v>4</v>
      </c>
    </row>
    <row r="131" spans="7:16" ht="15.75" x14ac:dyDescent="0.25">
      <c r="G131">
        <v>11</v>
      </c>
      <c r="H131" s="32" t="s">
        <v>28</v>
      </c>
      <c r="I131" s="32" t="s">
        <v>89</v>
      </c>
      <c r="J131" s="16" t="s">
        <v>26</v>
      </c>
      <c r="K131" s="16" t="s">
        <v>9</v>
      </c>
      <c r="L131" s="32">
        <f>SUM(E18,E9,E6)</f>
        <v>10</v>
      </c>
    </row>
    <row r="132" spans="7:16" ht="15.75" x14ac:dyDescent="0.25">
      <c r="G132">
        <v>12</v>
      </c>
      <c r="H132" s="32"/>
      <c r="I132" s="32" t="s">
        <v>91</v>
      </c>
      <c r="J132" s="16" t="s">
        <v>8</v>
      </c>
      <c r="K132" s="16" t="s">
        <v>30</v>
      </c>
      <c r="L132" s="32">
        <f>SUM(E60,E63,E88,E96)</f>
        <v>7</v>
      </c>
    </row>
    <row r="133" spans="7:16" ht="15.75" x14ac:dyDescent="0.25">
      <c r="G133">
        <v>13</v>
      </c>
      <c r="H133" s="31" t="s">
        <v>19</v>
      </c>
      <c r="I133" s="31" t="s">
        <v>89</v>
      </c>
      <c r="J133" s="31" t="s">
        <v>21</v>
      </c>
      <c r="K133" s="16" t="s">
        <v>64</v>
      </c>
      <c r="L133" s="32">
        <f>SUM(E43,E61,E73)</f>
        <v>7</v>
      </c>
    </row>
    <row r="134" spans="7:16" ht="15.75" x14ac:dyDescent="0.25">
      <c r="G134">
        <v>14</v>
      </c>
      <c r="H134" s="32"/>
      <c r="I134" s="32" t="s">
        <v>91</v>
      </c>
      <c r="J134" s="16" t="s">
        <v>20</v>
      </c>
      <c r="K134" s="31" t="s">
        <v>9</v>
      </c>
      <c r="L134" s="32">
        <f>SUM(E23,E27,E33,E35,E42,E65,E67)</f>
        <v>21</v>
      </c>
    </row>
    <row r="135" spans="7:16" ht="15.75" x14ac:dyDescent="0.25">
      <c r="G135">
        <v>15</v>
      </c>
      <c r="H135" s="32"/>
      <c r="I135" s="32" t="s">
        <v>93</v>
      </c>
      <c r="J135" s="16" t="s">
        <v>11</v>
      </c>
      <c r="K135" s="16" t="s">
        <v>67</v>
      </c>
      <c r="L135" s="32">
        <f>SUM(E41,E48,E45)</f>
        <v>9</v>
      </c>
    </row>
    <row r="136" spans="7:16" x14ac:dyDescent="0.25">
      <c r="G136">
        <v>16</v>
      </c>
      <c r="H136" s="32"/>
      <c r="I136" s="32" t="s">
        <v>89</v>
      </c>
      <c r="J136" s="32" t="s">
        <v>29</v>
      </c>
      <c r="K136" s="32" t="s">
        <v>67</v>
      </c>
      <c r="L136" s="32">
        <f>SUM(E17,E24,E25,E26,E22)</f>
        <v>13</v>
      </c>
    </row>
    <row r="137" spans="7:16" ht="15.75" x14ac:dyDescent="0.25">
      <c r="G137">
        <v>17</v>
      </c>
      <c r="H137" s="33"/>
      <c r="I137" s="33" t="s">
        <v>89</v>
      </c>
      <c r="J137" s="16" t="s">
        <v>26</v>
      </c>
      <c r="K137" s="31" t="s">
        <v>16</v>
      </c>
      <c r="L137" s="33">
        <f>SUM(E21,E29,E32,E66)</f>
        <v>13</v>
      </c>
    </row>
    <row r="138" spans="7:16" x14ac:dyDescent="0.25">
      <c r="H138" s="33"/>
      <c r="I138" s="33"/>
      <c r="J138" s="33"/>
      <c r="K138" s="33"/>
      <c r="L138" s="33">
        <f>SUM(L121:L137)</f>
        <v>200</v>
      </c>
    </row>
    <row r="140" spans="7:16" ht="15.75" x14ac:dyDescent="0.25">
      <c r="G140" s="25" t="s">
        <v>98</v>
      </c>
      <c r="H140" s="22" t="s">
        <v>6</v>
      </c>
      <c r="I140" s="22" t="s">
        <v>88</v>
      </c>
      <c r="J140" s="22" t="s">
        <v>3</v>
      </c>
      <c r="K140" s="22" t="s">
        <v>65</v>
      </c>
      <c r="L140" s="25" t="s">
        <v>99</v>
      </c>
      <c r="M140" s="25" t="s">
        <v>79</v>
      </c>
      <c r="N140" s="25" t="s">
        <v>81</v>
      </c>
      <c r="O140" s="25" t="s">
        <v>80</v>
      </c>
      <c r="P140" s="65" t="s">
        <v>100</v>
      </c>
    </row>
    <row r="141" spans="7:16" ht="15.75" x14ac:dyDescent="0.25">
      <c r="G141" s="10">
        <v>1</v>
      </c>
      <c r="H141" s="49" t="s">
        <v>22</v>
      </c>
      <c r="I141" s="49" t="s">
        <v>89</v>
      </c>
      <c r="J141" s="49" t="s">
        <v>21</v>
      </c>
      <c r="K141" s="49" t="s">
        <v>9</v>
      </c>
      <c r="L141" s="10">
        <v>3</v>
      </c>
      <c r="M141" s="50">
        <f>L141/200</f>
        <v>1.4999999999999999E-2</v>
      </c>
      <c r="N141" s="50">
        <f>LN(M141)</f>
        <v>-4.1997050778799272</v>
      </c>
      <c r="O141" s="50">
        <f>M141*N141</f>
        <v>-6.2995576168198911E-2</v>
      </c>
      <c r="P141" s="51">
        <f>M141^2</f>
        <v>2.2499999999999999E-4</v>
      </c>
    </row>
    <row r="142" spans="7:16" ht="15.75" x14ac:dyDescent="0.25">
      <c r="G142" s="10">
        <v>2</v>
      </c>
      <c r="H142" s="49" t="s">
        <v>19</v>
      </c>
      <c r="I142" s="49" t="s">
        <v>89</v>
      </c>
      <c r="J142" s="49" t="s">
        <v>21</v>
      </c>
      <c r="K142" s="52" t="s">
        <v>64</v>
      </c>
      <c r="L142" s="10">
        <v>7</v>
      </c>
      <c r="M142" s="50">
        <f t="shared" ref="M142:M157" si="1">L142/200</f>
        <v>3.5000000000000003E-2</v>
      </c>
      <c r="N142" s="50">
        <f t="shared" ref="N142:N157" si="2">LN(M142)</f>
        <v>-3.3524072174927233</v>
      </c>
      <c r="O142" s="50">
        <f t="shared" ref="O142:O157" si="3">M142*N142</f>
        <v>-0.11733425261224532</v>
      </c>
      <c r="P142" s="51">
        <f t="shared" ref="P142:P157" si="4">M142^2</f>
        <v>1.2250000000000002E-3</v>
      </c>
    </row>
    <row r="143" spans="7:16" ht="15.75" x14ac:dyDescent="0.25">
      <c r="G143" s="10">
        <v>3</v>
      </c>
      <c r="H143" s="53" t="s">
        <v>28</v>
      </c>
      <c r="I143" s="53" t="s">
        <v>89</v>
      </c>
      <c r="J143" s="52" t="s">
        <v>26</v>
      </c>
      <c r="K143" s="52" t="s">
        <v>9</v>
      </c>
      <c r="L143" s="10">
        <v>10</v>
      </c>
      <c r="M143" s="50">
        <f t="shared" si="1"/>
        <v>0.05</v>
      </c>
      <c r="N143" s="50">
        <f t="shared" si="2"/>
        <v>-2.9957322735539909</v>
      </c>
      <c r="O143" s="50">
        <f t="shared" si="3"/>
        <v>-0.14978661367769955</v>
      </c>
      <c r="P143" s="51">
        <f t="shared" si="4"/>
        <v>2.5000000000000005E-3</v>
      </c>
    </row>
    <row r="144" spans="7:16" ht="15.75" x14ac:dyDescent="0.25">
      <c r="G144" s="10">
        <v>4</v>
      </c>
      <c r="H144" s="54" t="s">
        <v>19</v>
      </c>
      <c r="I144" s="54" t="s">
        <v>89</v>
      </c>
      <c r="J144" s="52" t="s">
        <v>26</v>
      </c>
      <c r="K144" s="49" t="s">
        <v>16</v>
      </c>
      <c r="L144" s="10">
        <v>13</v>
      </c>
      <c r="M144" s="50">
        <f t="shared" si="1"/>
        <v>6.5000000000000002E-2</v>
      </c>
      <c r="N144" s="50">
        <f t="shared" si="2"/>
        <v>-2.7333680090865</v>
      </c>
      <c r="O144" s="50">
        <f t="shared" si="3"/>
        <v>-0.1776689205906225</v>
      </c>
      <c r="P144" s="51">
        <f t="shared" si="4"/>
        <v>4.2250000000000005E-3</v>
      </c>
    </row>
    <row r="145" spans="7:16" x14ac:dyDescent="0.25">
      <c r="G145" s="10">
        <v>5</v>
      </c>
      <c r="H145" s="53" t="s">
        <v>19</v>
      </c>
      <c r="I145" s="53" t="s">
        <v>89</v>
      </c>
      <c r="J145" s="53" t="s">
        <v>29</v>
      </c>
      <c r="K145" s="53" t="s">
        <v>67</v>
      </c>
      <c r="L145" s="10">
        <v>13</v>
      </c>
      <c r="M145" s="50">
        <f t="shared" si="1"/>
        <v>6.5000000000000002E-2</v>
      </c>
      <c r="N145" s="50">
        <f t="shared" si="2"/>
        <v>-2.7333680090865</v>
      </c>
      <c r="O145" s="50">
        <f t="shared" si="3"/>
        <v>-0.1776689205906225</v>
      </c>
      <c r="P145" s="51">
        <f t="shared" si="4"/>
        <v>4.2250000000000005E-3</v>
      </c>
    </row>
    <row r="146" spans="7:16" ht="15.75" x14ac:dyDescent="0.25">
      <c r="G146" s="10">
        <v>6</v>
      </c>
      <c r="H146" s="53" t="s">
        <v>19</v>
      </c>
      <c r="I146" s="53" t="s">
        <v>91</v>
      </c>
      <c r="J146" s="52" t="s">
        <v>20</v>
      </c>
      <c r="K146" s="49" t="s">
        <v>9</v>
      </c>
      <c r="L146" s="10">
        <v>21</v>
      </c>
      <c r="M146" s="50">
        <f t="shared" si="1"/>
        <v>0.105</v>
      </c>
      <c r="N146" s="50">
        <f t="shared" si="2"/>
        <v>-2.2537949288246137</v>
      </c>
      <c r="O146" s="50">
        <f t="shared" si="3"/>
        <v>-0.23664846752658444</v>
      </c>
      <c r="P146" s="51">
        <f t="shared" si="4"/>
        <v>1.1024999999999998E-2</v>
      </c>
    </row>
    <row r="147" spans="7:16" ht="15.75" x14ac:dyDescent="0.25">
      <c r="G147" s="10">
        <v>7</v>
      </c>
      <c r="H147" s="49" t="s">
        <v>7</v>
      </c>
      <c r="I147" s="49" t="s">
        <v>91</v>
      </c>
      <c r="J147" s="52" t="s">
        <v>8</v>
      </c>
      <c r="K147" s="52" t="s">
        <v>37</v>
      </c>
      <c r="L147" s="10">
        <v>29</v>
      </c>
      <c r="M147" s="50">
        <f t="shared" si="1"/>
        <v>0.14499999999999999</v>
      </c>
      <c r="N147" s="50">
        <f t="shared" si="2"/>
        <v>-1.9310215365615626</v>
      </c>
      <c r="O147" s="50">
        <f t="shared" si="3"/>
        <v>-0.27999812280142655</v>
      </c>
      <c r="P147" s="51">
        <f t="shared" si="4"/>
        <v>2.1024999999999999E-2</v>
      </c>
    </row>
    <row r="148" spans="7:16" ht="15.75" x14ac:dyDescent="0.25">
      <c r="G148" s="10">
        <v>8</v>
      </c>
      <c r="H148" s="49" t="s">
        <v>7</v>
      </c>
      <c r="I148" s="49" t="s">
        <v>91</v>
      </c>
      <c r="J148" s="52" t="s">
        <v>8</v>
      </c>
      <c r="K148" s="52" t="s">
        <v>18</v>
      </c>
      <c r="L148" s="10">
        <v>19</v>
      </c>
      <c r="M148" s="50">
        <f t="shared" si="1"/>
        <v>9.5000000000000001E-2</v>
      </c>
      <c r="N148" s="50">
        <f t="shared" si="2"/>
        <v>-2.353878387381596</v>
      </c>
      <c r="O148" s="50">
        <f t="shared" si="3"/>
        <v>-0.22361844680125162</v>
      </c>
      <c r="P148" s="51">
        <f t="shared" si="4"/>
        <v>9.025E-3</v>
      </c>
    </row>
    <row r="149" spans="7:16" ht="15.75" x14ac:dyDescent="0.25">
      <c r="G149" s="10">
        <v>9</v>
      </c>
      <c r="H149" s="53" t="s">
        <v>28</v>
      </c>
      <c r="I149" s="53" t="s">
        <v>91</v>
      </c>
      <c r="J149" s="52" t="s">
        <v>8</v>
      </c>
      <c r="K149" s="52" t="s">
        <v>30</v>
      </c>
      <c r="L149" s="10">
        <v>7</v>
      </c>
      <c r="M149" s="50">
        <f t="shared" si="1"/>
        <v>3.5000000000000003E-2</v>
      </c>
      <c r="N149" s="50">
        <f t="shared" si="2"/>
        <v>-3.3524072174927233</v>
      </c>
      <c r="O149" s="50">
        <f t="shared" si="3"/>
        <v>-0.11733425261224532</v>
      </c>
      <c r="P149" s="51">
        <f t="shared" si="4"/>
        <v>1.2250000000000002E-3</v>
      </c>
    </row>
    <row r="150" spans="7:16" ht="15.75" x14ac:dyDescent="0.25">
      <c r="G150" s="10">
        <v>10</v>
      </c>
      <c r="H150" s="53" t="s">
        <v>7</v>
      </c>
      <c r="I150" s="49" t="s">
        <v>91</v>
      </c>
      <c r="J150" s="52" t="s">
        <v>8</v>
      </c>
      <c r="K150" s="49" t="s">
        <v>9</v>
      </c>
      <c r="L150" s="10">
        <v>11</v>
      </c>
      <c r="M150" s="50">
        <f t="shared" si="1"/>
        <v>5.5E-2</v>
      </c>
      <c r="N150" s="50">
        <f t="shared" si="2"/>
        <v>-2.9004220937496661</v>
      </c>
      <c r="O150" s="50">
        <f t="shared" si="3"/>
        <v>-0.15952321515623163</v>
      </c>
      <c r="P150" s="51">
        <f t="shared" si="4"/>
        <v>3.0249999999999999E-3</v>
      </c>
    </row>
    <row r="151" spans="7:16" ht="15.75" x14ac:dyDescent="0.25">
      <c r="G151" s="10">
        <v>11</v>
      </c>
      <c r="H151" s="53" t="s">
        <v>7</v>
      </c>
      <c r="I151" s="49" t="s">
        <v>91</v>
      </c>
      <c r="J151" s="52" t="s">
        <v>8</v>
      </c>
      <c r="K151" s="49" t="s">
        <v>16</v>
      </c>
      <c r="L151" s="10">
        <v>19</v>
      </c>
      <c r="M151" s="50">
        <f t="shared" si="1"/>
        <v>9.5000000000000001E-2</v>
      </c>
      <c r="N151" s="50">
        <f t="shared" si="2"/>
        <v>-2.353878387381596</v>
      </c>
      <c r="O151" s="50">
        <f t="shared" si="3"/>
        <v>-0.22361844680125162</v>
      </c>
      <c r="P151" s="51">
        <f t="shared" si="4"/>
        <v>9.025E-3</v>
      </c>
    </row>
    <row r="152" spans="7:16" ht="15.75" x14ac:dyDescent="0.25">
      <c r="G152" s="10">
        <v>12</v>
      </c>
      <c r="H152" s="53" t="s">
        <v>7</v>
      </c>
      <c r="I152" s="49" t="s">
        <v>91</v>
      </c>
      <c r="J152" s="55" t="s">
        <v>27</v>
      </c>
      <c r="K152" s="55" t="s">
        <v>55</v>
      </c>
      <c r="L152" s="10">
        <v>2</v>
      </c>
      <c r="M152" s="50">
        <f t="shared" si="1"/>
        <v>0.01</v>
      </c>
      <c r="N152" s="50">
        <f t="shared" si="2"/>
        <v>-4.6051701859880909</v>
      </c>
      <c r="O152" s="50">
        <f t="shared" si="3"/>
        <v>-4.605170185988091E-2</v>
      </c>
      <c r="P152" s="51">
        <f t="shared" si="4"/>
        <v>1E-4</v>
      </c>
    </row>
    <row r="153" spans="7:16" ht="15.75" x14ac:dyDescent="0.25">
      <c r="G153" s="10">
        <v>13</v>
      </c>
      <c r="H153" s="53" t="s">
        <v>7</v>
      </c>
      <c r="I153" s="49" t="s">
        <v>91</v>
      </c>
      <c r="J153" s="53" t="s">
        <v>12</v>
      </c>
      <c r="K153" s="52" t="s">
        <v>13</v>
      </c>
      <c r="L153" s="10">
        <v>16</v>
      </c>
      <c r="M153" s="50">
        <f t="shared" si="1"/>
        <v>0.08</v>
      </c>
      <c r="N153" s="50">
        <f t="shared" si="2"/>
        <v>-2.5257286443082556</v>
      </c>
      <c r="O153" s="50">
        <f t="shared" si="3"/>
        <v>-0.20205829154466046</v>
      </c>
      <c r="P153" s="51">
        <f t="shared" si="4"/>
        <v>6.4000000000000003E-3</v>
      </c>
    </row>
    <row r="154" spans="7:16" ht="15.75" x14ac:dyDescent="0.25">
      <c r="G154" s="10">
        <v>14</v>
      </c>
      <c r="H154" s="53" t="s">
        <v>7</v>
      </c>
      <c r="I154" s="54" t="s">
        <v>94</v>
      </c>
      <c r="J154" s="55" t="s">
        <v>57</v>
      </c>
      <c r="K154" s="55" t="s">
        <v>58</v>
      </c>
      <c r="L154" s="10">
        <v>4</v>
      </c>
      <c r="M154" s="50">
        <f t="shared" si="1"/>
        <v>0.02</v>
      </c>
      <c r="N154" s="50">
        <f t="shared" si="2"/>
        <v>-3.912023005428146</v>
      </c>
      <c r="O154" s="50">
        <f t="shared" si="3"/>
        <v>-7.824046010856292E-2</v>
      </c>
      <c r="P154" s="51">
        <f t="shared" si="4"/>
        <v>4.0000000000000002E-4</v>
      </c>
    </row>
    <row r="155" spans="7:16" ht="15.75" x14ac:dyDescent="0.25">
      <c r="G155" s="10">
        <v>15</v>
      </c>
      <c r="H155" s="56" t="s">
        <v>22</v>
      </c>
      <c r="I155" s="53" t="s">
        <v>95</v>
      </c>
      <c r="J155" s="53" t="s">
        <v>25</v>
      </c>
      <c r="K155" s="52" t="s">
        <v>69</v>
      </c>
      <c r="L155" s="10">
        <v>5</v>
      </c>
      <c r="M155" s="50">
        <f t="shared" si="1"/>
        <v>2.5000000000000001E-2</v>
      </c>
      <c r="N155" s="50">
        <f t="shared" si="2"/>
        <v>-3.6888794541139363</v>
      </c>
      <c r="O155" s="50">
        <f t="shared" si="3"/>
        <v>-9.2221986352848409E-2</v>
      </c>
      <c r="P155" s="51">
        <f t="shared" si="4"/>
        <v>6.2500000000000012E-4</v>
      </c>
    </row>
    <row r="156" spans="7:16" x14ac:dyDescent="0.25">
      <c r="G156" s="10">
        <v>16</v>
      </c>
      <c r="H156" s="56" t="s">
        <v>22</v>
      </c>
      <c r="I156" s="53" t="s">
        <v>93</v>
      </c>
      <c r="J156" s="53" t="s">
        <v>11</v>
      </c>
      <c r="K156" s="53" t="s">
        <v>60</v>
      </c>
      <c r="L156" s="10">
        <v>12</v>
      </c>
      <c r="M156" s="50">
        <f t="shared" si="1"/>
        <v>0.06</v>
      </c>
      <c r="N156" s="50">
        <f t="shared" si="2"/>
        <v>-2.8134107167600364</v>
      </c>
      <c r="O156" s="50">
        <f t="shared" si="3"/>
        <v>-0.16880464300560219</v>
      </c>
      <c r="P156" s="51">
        <f t="shared" si="4"/>
        <v>3.5999999999999999E-3</v>
      </c>
    </row>
    <row r="157" spans="7:16" ht="15.75" x14ac:dyDescent="0.25">
      <c r="G157" s="10">
        <v>17</v>
      </c>
      <c r="H157" s="56" t="s">
        <v>19</v>
      </c>
      <c r="I157" s="53" t="s">
        <v>93</v>
      </c>
      <c r="J157" s="52" t="s">
        <v>11</v>
      </c>
      <c r="K157" s="52" t="s">
        <v>67</v>
      </c>
      <c r="L157" s="10">
        <v>9</v>
      </c>
      <c r="M157" s="50">
        <f t="shared" si="1"/>
        <v>4.4999999999999998E-2</v>
      </c>
      <c r="N157" s="50">
        <f t="shared" si="2"/>
        <v>-3.1010927892118172</v>
      </c>
      <c r="O157" s="50">
        <f t="shared" si="3"/>
        <v>-0.13954917551453178</v>
      </c>
      <c r="P157" s="51">
        <f t="shared" si="4"/>
        <v>2.0249999999999999E-3</v>
      </c>
    </row>
    <row r="158" spans="7:16" x14ac:dyDescent="0.25">
      <c r="G158" s="170" t="s">
        <v>82</v>
      </c>
      <c r="H158" s="170"/>
      <c r="I158" s="170"/>
      <c r="J158" s="170"/>
      <c r="K158" s="170"/>
      <c r="L158" s="26">
        <f>SUM(L141:L157)</f>
        <v>200</v>
      </c>
      <c r="M158" s="26"/>
      <c r="N158" s="26"/>
      <c r="O158" s="57">
        <f>SUM(O141:O157)</f>
        <v>-2.6531214937244672</v>
      </c>
      <c r="P158" s="58">
        <f>SUM(P141:P157)</f>
        <v>7.9900000000000013E-2</v>
      </c>
    </row>
    <row r="159" spans="7:16" ht="15.75" x14ac:dyDescent="0.25">
      <c r="G159" s="166" t="s">
        <v>83</v>
      </c>
      <c r="H159" s="166"/>
      <c r="I159" s="166"/>
      <c r="J159" s="166"/>
      <c r="K159" s="166"/>
      <c r="L159" s="38"/>
      <c r="M159" s="39"/>
      <c r="N159" s="39"/>
      <c r="O159" s="40">
        <f>-(O158)</f>
        <v>2.6531214937244672</v>
      </c>
      <c r="P159" s="39"/>
    </row>
    <row r="160" spans="7:16" ht="15.75" x14ac:dyDescent="0.25">
      <c r="G160" s="167" t="s">
        <v>84</v>
      </c>
      <c r="H160" s="167"/>
      <c r="I160" s="167"/>
      <c r="J160" s="167"/>
      <c r="K160" s="167"/>
      <c r="L160" s="41"/>
      <c r="M160" s="42"/>
      <c r="N160" s="42"/>
      <c r="O160" s="43">
        <f>O159/LN(12)</f>
        <v>1.067694633096506</v>
      </c>
      <c r="P160" s="42"/>
    </row>
    <row r="161" spans="7:16" ht="15.75" x14ac:dyDescent="0.25">
      <c r="G161" s="168" t="s">
        <v>85</v>
      </c>
      <c r="H161" s="168"/>
      <c r="I161" s="168"/>
      <c r="J161" s="168"/>
      <c r="K161" s="168"/>
      <c r="L161" s="44"/>
      <c r="M161" s="45"/>
      <c r="N161" s="45"/>
      <c r="O161" s="46">
        <f>P158</f>
        <v>7.9900000000000013E-2</v>
      </c>
      <c r="P161" s="45"/>
    </row>
    <row r="165" spans="7:16" ht="15.75" thickBot="1" x14ac:dyDescent="0.3"/>
    <row r="166" spans="7:16" ht="16.5" thickBot="1" x14ac:dyDescent="0.3">
      <c r="G166" s="91" t="s">
        <v>108</v>
      </c>
      <c r="H166" s="91" t="s">
        <v>127</v>
      </c>
      <c r="J166" s="96" t="s">
        <v>108</v>
      </c>
      <c r="K166" s="96" t="s">
        <v>129</v>
      </c>
      <c r="M166" s="96" t="s">
        <v>108</v>
      </c>
      <c r="N166" s="96" t="s">
        <v>129</v>
      </c>
    </row>
    <row r="167" spans="7:16" ht="16.5" thickBot="1" x14ac:dyDescent="0.3">
      <c r="G167" s="92">
        <v>1</v>
      </c>
      <c r="H167" s="93">
        <v>2.2000000000000002</v>
      </c>
      <c r="J167" s="97">
        <v>1</v>
      </c>
      <c r="K167" s="97">
        <v>0.9</v>
      </c>
      <c r="M167" s="97">
        <v>1</v>
      </c>
      <c r="N167" s="99">
        <v>0.15</v>
      </c>
    </row>
    <row r="168" spans="7:16" ht="15.75" x14ac:dyDescent="0.25">
      <c r="G168" s="92">
        <v>2</v>
      </c>
      <c r="H168" s="93">
        <v>2.2999999999999998</v>
      </c>
      <c r="J168" s="97">
        <v>2</v>
      </c>
      <c r="K168" s="97">
        <v>0.91</v>
      </c>
      <c r="M168" s="97">
        <v>2</v>
      </c>
      <c r="N168" s="100">
        <v>0.16</v>
      </c>
    </row>
    <row r="169" spans="7:16" ht="15.75" x14ac:dyDescent="0.25">
      <c r="G169" s="92">
        <v>3</v>
      </c>
      <c r="H169" s="93">
        <v>2.7</v>
      </c>
      <c r="J169" s="97">
        <v>3</v>
      </c>
      <c r="K169" s="97">
        <v>1.07</v>
      </c>
      <c r="M169" s="97">
        <v>3</v>
      </c>
      <c r="N169" s="100">
        <v>0.08</v>
      </c>
    </row>
    <row r="170" spans="7:16" ht="15.75" x14ac:dyDescent="0.25">
      <c r="G170" s="92">
        <v>4</v>
      </c>
      <c r="H170" s="93">
        <v>2.2999999999999998</v>
      </c>
      <c r="J170" s="97">
        <v>4</v>
      </c>
      <c r="K170" s="97">
        <v>0.94</v>
      </c>
      <c r="M170" s="97">
        <v>4</v>
      </c>
      <c r="N170" s="100">
        <v>0.11</v>
      </c>
    </row>
    <row r="171" spans="7:16" ht="16.5" thickBot="1" x14ac:dyDescent="0.3">
      <c r="G171" s="92">
        <v>5</v>
      </c>
      <c r="H171" s="93">
        <v>1.9</v>
      </c>
      <c r="J171" s="97">
        <v>5</v>
      </c>
      <c r="K171" s="97">
        <v>0.78</v>
      </c>
      <c r="M171" s="97">
        <v>5</v>
      </c>
      <c r="N171" s="101">
        <v>0.11</v>
      </c>
    </row>
    <row r="172" spans="7:16" ht="16.5" thickBot="1" x14ac:dyDescent="0.3">
      <c r="G172" s="94" t="s">
        <v>128</v>
      </c>
      <c r="H172" s="95">
        <f>AVERAGE(H167:H171)</f>
        <v>2.2800000000000002</v>
      </c>
      <c r="J172" s="98" t="s">
        <v>128</v>
      </c>
      <c r="K172" s="98">
        <f>AVERAGE(K167:K171)</f>
        <v>0.91999999999999993</v>
      </c>
      <c r="M172" s="98" t="s">
        <v>128</v>
      </c>
      <c r="N172">
        <f>AVERAGE(N167:N171)</f>
        <v>0.122</v>
      </c>
    </row>
  </sheetData>
  <mergeCells count="7">
    <mergeCell ref="G161:K161"/>
    <mergeCell ref="G158:K158"/>
    <mergeCell ref="A1:C1"/>
    <mergeCell ref="A2:B2"/>
    <mergeCell ref="A3:B3"/>
    <mergeCell ref="G159:K159"/>
    <mergeCell ref="G160:K160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5"/>
  <sheetViews>
    <sheetView zoomScale="70" zoomScaleNormal="70" workbookViewId="0">
      <pane ySplit="1635" topLeftCell="A94" activePane="bottomLeft"/>
      <selection pane="bottomLeft" activeCell="F97" sqref="F97:O115"/>
    </sheetView>
  </sheetViews>
  <sheetFormatPr defaultRowHeight="15.75" x14ac:dyDescent="0.25"/>
  <cols>
    <col min="1" max="1" width="12.5703125" style="2" customWidth="1"/>
    <col min="2" max="2" width="10.85546875" style="2" customWidth="1"/>
    <col min="3" max="3" width="13.140625" style="2" customWidth="1"/>
    <col min="4" max="4" width="21.85546875" style="2" customWidth="1"/>
    <col min="5" max="5" width="15.7109375" style="2" customWidth="1"/>
    <col min="6" max="7" width="9.140625" style="2"/>
    <col min="8" max="8" width="10.85546875" style="2" customWidth="1"/>
    <col min="9" max="9" width="9.140625" style="2"/>
    <col min="10" max="10" width="18" style="2" customWidth="1"/>
    <col min="11" max="11" width="11.140625" style="2" customWidth="1"/>
    <col min="12" max="12" width="14.140625" style="2" customWidth="1"/>
    <col min="13" max="13" width="12" style="2" customWidth="1"/>
    <col min="14" max="14" width="9.140625" style="2"/>
    <col min="15" max="15" width="10.42578125" style="2" customWidth="1"/>
    <col min="16" max="16384" width="9.140625" style="2"/>
  </cols>
  <sheetData>
    <row r="1" spans="1:40" x14ac:dyDescent="0.25">
      <c r="A1" s="171" t="s">
        <v>0</v>
      </c>
      <c r="B1" s="171"/>
      <c r="C1" s="171"/>
      <c r="D1" s="1" t="s">
        <v>15</v>
      </c>
      <c r="E1" s="5" t="s">
        <v>41</v>
      </c>
      <c r="F1" s="5" t="s">
        <v>46</v>
      </c>
      <c r="I1" s="13" t="s">
        <v>72</v>
      </c>
    </row>
    <row r="2" spans="1:40" x14ac:dyDescent="0.25">
      <c r="A2" s="171" t="s">
        <v>1</v>
      </c>
      <c r="B2" s="171"/>
      <c r="C2" s="4">
        <v>0.6743055555555556</v>
      </c>
      <c r="D2" s="1"/>
      <c r="E2" s="5" t="s">
        <v>42</v>
      </c>
      <c r="F2" s="5" t="s">
        <v>47</v>
      </c>
      <c r="I2" s="13" t="s">
        <v>76</v>
      </c>
    </row>
    <row r="3" spans="1:40" x14ac:dyDescent="0.25">
      <c r="A3" s="171" t="s">
        <v>45</v>
      </c>
      <c r="B3" s="171"/>
      <c r="C3" s="1">
        <v>4</v>
      </c>
      <c r="D3" s="1"/>
    </row>
    <row r="5" spans="1:40" ht="38.25" x14ac:dyDescent="0.25">
      <c r="A5" s="15" t="s">
        <v>2</v>
      </c>
      <c r="B5" s="15" t="s">
        <v>6</v>
      </c>
      <c r="C5" s="15" t="s">
        <v>3</v>
      </c>
      <c r="D5" s="15" t="s">
        <v>4</v>
      </c>
      <c r="E5" s="15" t="s">
        <v>5</v>
      </c>
      <c r="H5" s="102" t="s">
        <v>130</v>
      </c>
      <c r="I5" s="103" t="s">
        <v>101</v>
      </c>
      <c r="J5" s="103" t="s">
        <v>112</v>
      </c>
      <c r="K5" s="104" t="s">
        <v>64</v>
      </c>
      <c r="L5" s="104" t="s">
        <v>102</v>
      </c>
      <c r="M5" s="103" t="s">
        <v>113</v>
      </c>
      <c r="N5" s="104" t="s">
        <v>114</v>
      </c>
      <c r="O5" s="103" t="s">
        <v>103</v>
      </c>
      <c r="P5" s="103" t="s">
        <v>104</v>
      </c>
      <c r="Q5" s="104" t="s">
        <v>37</v>
      </c>
      <c r="R5" s="104" t="s">
        <v>34</v>
      </c>
      <c r="S5" s="104" t="s">
        <v>18</v>
      </c>
      <c r="T5" s="104" t="s">
        <v>30</v>
      </c>
      <c r="U5" s="103" t="s">
        <v>68</v>
      </c>
      <c r="V5" s="103" t="s">
        <v>115</v>
      </c>
      <c r="W5" s="103" t="s">
        <v>116</v>
      </c>
      <c r="X5" s="103" t="s">
        <v>117</v>
      </c>
      <c r="Y5" s="103" t="s">
        <v>118</v>
      </c>
      <c r="Z5" s="103" t="s">
        <v>119</v>
      </c>
      <c r="AA5" s="103" t="s">
        <v>120</v>
      </c>
      <c r="AB5" s="103" t="s">
        <v>121</v>
      </c>
      <c r="AC5" s="104" t="s">
        <v>55</v>
      </c>
      <c r="AD5" s="104" t="s">
        <v>13</v>
      </c>
      <c r="AE5" s="103" t="s">
        <v>122</v>
      </c>
      <c r="AF5" s="105" t="s">
        <v>97</v>
      </c>
      <c r="AG5" s="104" t="s">
        <v>123</v>
      </c>
      <c r="AH5" s="104" t="s">
        <v>58</v>
      </c>
      <c r="AI5" s="104" t="s">
        <v>69</v>
      </c>
      <c r="AJ5" s="104" t="s">
        <v>124</v>
      </c>
      <c r="AK5" s="103" t="s">
        <v>125</v>
      </c>
      <c r="AL5" s="104" t="s">
        <v>60</v>
      </c>
      <c r="AM5" s="106" t="s">
        <v>126</v>
      </c>
      <c r="AN5"/>
    </row>
    <row r="6" spans="1:40" x14ac:dyDescent="0.25">
      <c r="A6" s="15">
        <v>1</v>
      </c>
      <c r="B6" s="15" t="s">
        <v>7</v>
      </c>
      <c r="C6" s="15" t="s">
        <v>8</v>
      </c>
      <c r="D6" s="15" t="s">
        <v>9</v>
      </c>
      <c r="E6" s="15">
        <v>1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/>
    </row>
    <row r="7" spans="1:40" x14ac:dyDescent="0.25">
      <c r="A7" s="15">
        <v>2</v>
      </c>
      <c r="B7" s="15">
        <v>0</v>
      </c>
      <c r="C7" s="15"/>
      <c r="D7" s="15"/>
      <c r="E7" s="15"/>
      <c r="H7">
        <v>2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/>
    </row>
    <row r="8" spans="1:40" x14ac:dyDescent="0.25">
      <c r="A8" s="15">
        <v>3</v>
      </c>
      <c r="B8" s="15">
        <v>0</v>
      </c>
      <c r="C8" s="15"/>
      <c r="D8" s="15"/>
      <c r="E8" s="15"/>
      <c r="H8">
        <v>3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/>
    </row>
    <row r="9" spans="1:40" x14ac:dyDescent="0.25">
      <c r="A9" s="15">
        <v>4</v>
      </c>
      <c r="B9" s="15">
        <v>0</v>
      </c>
      <c r="C9" s="15"/>
      <c r="D9" s="15"/>
      <c r="E9" s="15"/>
      <c r="H9">
        <v>4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/>
    </row>
    <row r="10" spans="1:40" x14ac:dyDescent="0.25">
      <c r="A10" s="15">
        <v>5</v>
      </c>
      <c r="B10" s="15">
        <v>0</v>
      </c>
      <c r="C10" s="15"/>
      <c r="D10" s="15"/>
      <c r="E10" s="15"/>
      <c r="H10">
        <v>5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/>
    </row>
    <row r="11" spans="1:40" x14ac:dyDescent="0.25">
      <c r="A11" s="15">
        <v>6</v>
      </c>
      <c r="B11" s="15">
        <v>0</v>
      </c>
      <c r="C11" s="15"/>
      <c r="D11" s="15"/>
      <c r="E11" s="15"/>
      <c r="H11">
        <v>6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/>
    </row>
    <row r="12" spans="1:40" x14ac:dyDescent="0.25">
      <c r="A12" s="15">
        <v>7</v>
      </c>
      <c r="B12" s="15">
        <v>0</v>
      </c>
      <c r="C12" s="15"/>
      <c r="D12" s="15"/>
      <c r="E12" s="15"/>
      <c r="H12">
        <v>7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/>
    </row>
    <row r="13" spans="1:40" x14ac:dyDescent="0.25">
      <c r="A13" s="15">
        <v>8</v>
      </c>
      <c r="B13" s="15">
        <v>0</v>
      </c>
      <c r="C13" s="15"/>
      <c r="D13" s="15"/>
      <c r="E13" s="15"/>
      <c r="H13">
        <v>8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/>
    </row>
    <row r="14" spans="1:40" x14ac:dyDescent="0.25">
      <c r="A14" s="15">
        <v>9</v>
      </c>
      <c r="B14" s="15">
        <v>0</v>
      </c>
      <c r="C14" s="15"/>
      <c r="D14" s="15"/>
      <c r="E14" s="15"/>
      <c r="H14">
        <v>9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/>
    </row>
    <row r="15" spans="1:40" x14ac:dyDescent="0.25">
      <c r="A15" s="15">
        <v>10</v>
      </c>
      <c r="B15" s="15">
        <v>0</v>
      </c>
      <c r="C15" s="15"/>
      <c r="D15" s="15"/>
      <c r="E15" s="15"/>
      <c r="H15">
        <v>10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/>
    </row>
    <row r="16" spans="1:40" x14ac:dyDescent="0.25">
      <c r="A16" s="15">
        <v>11</v>
      </c>
      <c r="B16" s="15">
        <v>0</v>
      </c>
      <c r="C16" s="15"/>
      <c r="D16" s="15"/>
      <c r="E16" s="15"/>
      <c r="H16">
        <v>11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/>
    </row>
    <row r="17" spans="1:40" x14ac:dyDescent="0.25">
      <c r="A17" s="15">
        <v>12</v>
      </c>
      <c r="B17" s="15">
        <v>0</v>
      </c>
      <c r="C17" s="15"/>
      <c r="D17" s="15"/>
      <c r="E17" s="15"/>
      <c r="H17">
        <v>12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/>
    </row>
    <row r="18" spans="1:40" x14ac:dyDescent="0.25">
      <c r="A18" s="15">
        <v>13</v>
      </c>
      <c r="B18" s="15" t="s">
        <v>7</v>
      </c>
      <c r="C18" s="15" t="s">
        <v>8</v>
      </c>
      <c r="D18" s="15" t="s">
        <v>18</v>
      </c>
      <c r="E18" s="15">
        <v>2</v>
      </c>
      <c r="H18">
        <v>13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2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/>
    </row>
    <row r="19" spans="1:40" x14ac:dyDescent="0.25">
      <c r="A19" s="15">
        <v>14</v>
      </c>
      <c r="B19" s="15">
        <v>0</v>
      </c>
      <c r="C19" s="15"/>
      <c r="D19" s="15"/>
      <c r="E19" s="15"/>
      <c r="H19">
        <v>14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/>
    </row>
    <row r="20" spans="1:40" x14ac:dyDescent="0.25">
      <c r="A20" s="15">
        <v>15</v>
      </c>
      <c r="B20" s="15">
        <v>0</v>
      </c>
      <c r="C20" s="15"/>
      <c r="D20" s="15"/>
      <c r="E20" s="15"/>
      <c r="H20">
        <v>15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/>
    </row>
    <row r="21" spans="1:40" x14ac:dyDescent="0.25">
      <c r="A21" s="15">
        <v>16</v>
      </c>
      <c r="B21" s="15">
        <v>0</v>
      </c>
      <c r="C21" s="15"/>
      <c r="D21" s="15"/>
      <c r="E21" s="15"/>
      <c r="H21">
        <v>16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/>
    </row>
    <row r="22" spans="1:40" x14ac:dyDescent="0.25">
      <c r="A22" s="15">
        <v>17</v>
      </c>
      <c r="B22" s="15">
        <v>0</v>
      </c>
      <c r="C22" s="15"/>
      <c r="D22" s="15"/>
      <c r="E22" s="15"/>
      <c r="H22">
        <v>17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/>
    </row>
    <row r="23" spans="1:40" x14ac:dyDescent="0.25">
      <c r="A23" s="15">
        <v>18</v>
      </c>
      <c r="B23" s="15">
        <v>0</v>
      </c>
      <c r="C23" s="15"/>
      <c r="D23" s="15"/>
      <c r="E23" s="15"/>
      <c r="H23">
        <v>18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/>
    </row>
    <row r="24" spans="1:40" x14ac:dyDescent="0.25">
      <c r="A24" s="15">
        <v>19</v>
      </c>
      <c r="B24" s="15">
        <v>0</v>
      </c>
      <c r="C24" s="15"/>
      <c r="D24" s="15"/>
      <c r="E24" s="15"/>
      <c r="H24">
        <v>19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/>
    </row>
    <row r="25" spans="1:40" x14ac:dyDescent="0.25">
      <c r="A25" s="15">
        <v>20</v>
      </c>
      <c r="B25" s="15">
        <v>0</v>
      </c>
      <c r="C25" s="15"/>
      <c r="D25" s="15"/>
      <c r="E25" s="15"/>
      <c r="H25">
        <v>20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/>
    </row>
    <row r="26" spans="1:40" x14ac:dyDescent="0.25">
      <c r="A26" s="15">
        <v>21</v>
      </c>
      <c r="B26" s="15">
        <v>0</v>
      </c>
      <c r="C26" s="15"/>
      <c r="D26" s="15"/>
      <c r="E26" s="15"/>
      <c r="H26">
        <v>21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/>
    </row>
    <row r="27" spans="1:40" x14ac:dyDescent="0.25">
      <c r="A27" s="15">
        <v>22</v>
      </c>
      <c r="B27" s="15">
        <v>0</v>
      </c>
      <c r="C27" s="15"/>
      <c r="D27" s="15"/>
      <c r="E27" s="15"/>
      <c r="H27">
        <v>22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/>
    </row>
    <row r="28" spans="1:40" x14ac:dyDescent="0.25">
      <c r="A28" s="15">
        <v>23</v>
      </c>
      <c r="B28" s="15">
        <v>0</v>
      </c>
      <c r="C28" s="15"/>
      <c r="D28" s="15"/>
      <c r="E28" s="15"/>
      <c r="H28">
        <v>23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/>
    </row>
    <row r="29" spans="1:40" x14ac:dyDescent="0.25">
      <c r="A29" s="15">
        <v>24</v>
      </c>
      <c r="B29" s="15">
        <v>0</v>
      </c>
      <c r="C29" s="15"/>
      <c r="D29" s="15"/>
      <c r="E29" s="15"/>
      <c r="H29">
        <v>24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/>
    </row>
    <row r="30" spans="1:40" x14ac:dyDescent="0.25">
      <c r="A30" s="15">
        <v>25</v>
      </c>
      <c r="B30" s="15">
        <v>0</v>
      </c>
      <c r="C30" s="15"/>
      <c r="D30" s="15"/>
      <c r="E30" s="15"/>
      <c r="H30">
        <v>25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/>
    </row>
    <row r="31" spans="1:40" x14ac:dyDescent="0.25">
      <c r="A31" s="15">
        <v>26</v>
      </c>
      <c r="B31" s="15">
        <v>0</v>
      </c>
      <c r="C31" s="15"/>
      <c r="D31" s="15"/>
      <c r="E31" s="15"/>
      <c r="H31">
        <v>26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/>
    </row>
    <row r="32" spans="1:40" x14ac:dyDescent="0.25">
      <c r="A32" s="15">
        <v>27</v>
      </c>
      <c r="B32" s="15">
        <v>0</v>
      </c>
      <c r="C32" s="15"/>
      <c r="D32" s="15"/>
      <c r="E32" s="15"/>
      <c r="H32">
        <v>27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/>
    </row>
    <row r="33" spans="1:40" x14ac:dyDescent="0.25">
      <c r="A33" s="15">
        <v>28</v>
      </c>
      <c r="B33" s="15" t="s">
        <v>7</v>
      </c>
      <c r="C33" s="15" t="s">
        <v>8</v>
      </c>
      <c r="D33" s="15" t="s">
        <v>18</v>
      </c>
      <c r="E33" s="15">
        <v>2</v>
      </c>
      <c r="H33">
        <v>28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2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/>
    </row>
    <row r="34" spans="1:40" x14ac:dyDescent="0.25">
      <c r="A34" s="15">
        <v>29</v>
      </c>
      <c r="B34" s="15">
        <v>0</v>
      </c>
      <c r="C34" s="15"/>
      <c r="D34" s="15"/>
      <c r="E34" s="15"/>
      <c r="H34">
        <v>29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/>
    </row>
    <row r="35" spans="1:40" x14ac:dyDescent="0.25">
      <c r="A35" s="15">
        <v>30</v>
      </c>
      <c r="B35" s="15">
        <v>0</v>
      </c>
      <c r="C35" s="15"/>
      <c r="D35" s="15"/>
      <c r="E35" s="15"/>
      <c r="H35">
        <v>30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/>
    </row>
    <row r="36" spans="1:40" x14ac:dyDescent="0.25">
      <c r="A36" s="15">
        <v>31</v>
      </c>
      <c r="B36" s="15">
        <v>0</v>
      </c>
      <c r="C36" s="15"/>
      <c r="D36" s="15"/>
      <c r="E36" s="15"/>
      <c r="H36">
        <v>31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/>
    </row>
    <row r="37" spans="1:40" x14ac:dyDescent="0.25">
      <c r="A37" s="15">
        <v>32</v>
      </c>
      <c r="B37" s="15">
        <v>0</v>
      </c>
      <c r="C37" s="15"/>
      <c r="D37" s="15"/>
      <c r="E37" s="15"/>
      <c r="H37">
        <v>32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/>
    </row>
    <row r="38" spans="1:40" x14ac:dyDescent="0.25">
      <c r="A38" s="15">
        <v>33</v>
      </c>
      <c r="B38" s="15" t="s">
        <v>7</v>
      </c>
      <c r="C38" s="15" t="s">
        <v>8</v>
      </c>
      <c r="D38" s="15" t="s">
        <v>18</v>
      </c>
      <c r="E38" s="15">
        <v>1</v>
      </c>
      <c r="H38">
        <v>33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1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/>
    </row>
    <row r="39" spans="1:40" x14ac:dyDescent="0.25">
      <c r="A39" s="15">
        <v>34</v>
      </c>
      <c r="B39" s="15">
        <v>0</v>
      </c>
      <c r="C39" s="15"/>
      <c r="D39" s="15"/>
      <c r="E39" s="15"/>
      <c r="H39">
        <v>34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/>
    </row>
    <row r="40" spans="1:40" x14ac:dyDescent="0.25">
      <c r="A40" s="15">
        <v>35</v>
      </c>
      <c r="B40" s="15">
        <v>0</v>
      </c>
      <c r="C40" s="15"/>
      <c r="D40" s="15"/>
      <c r="E40" s="15"/>
      <c r="H40">
        <v>35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/>
    </row>
    <row r="41" spans="1:40" x14ac:dyDescent="0.25">
      <c r="A41" s="15">
        <v>36</v>
      </c>
      <c r="B41" s="15" t="s">
        <v>7</v>
      </c>
      <c r="C41" s="15" t="s">
        <v>8</v>
      </c>
      <c r="D41" s="15" t="s">
        <v>37</v>
      </c>
      <c r="E41" s="15">
        <v>5</v>
      </c>
      <c r="H41">
        <v>36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5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/>
    </row>
    <row r="42" spans="1:40" x14ac:dyDescent="0.25">
      <c r="A42" s="15">
        <v>37</v>
      </c>
      <c r="B42" s="15" t="s">
        <v>19</v>
      </c>
      <c r="C42" s="15" t="s">
        <v>20</v>
      </c>
      <c r="D42" s="15" t="s">
        <v>9</v>
      </c>
      <c r="E42" s="15">
        <v>1</v>
      </c>
      <c r="H42">
        <v>37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1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/>
    </row>
    <row r="43" spans="1:40" x14ac:dyDescent="0.25">
      <c r="A43" s="15">
        <v>38</v>
      </c>
      <c r="B43" s="15" t="s">
        <v>7</v>
      </c>
      <c r="C43" s="15" t="s">
        <v>8</v>
      </c>
      <c r="D43" s="15" t="s">
        <v>37</v>
      </c>
      <c r="E43" s="15">
        <v>7</v>
      </c>
      <c r="H43">
        <v>38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7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1</v>
      </c>
      <c r="AN43"/>
    </row>
    <row r="44" spans="1:40" x14ac:dyDescent="0.25">
      <c r="A44" s="15"/>
      <c r="B44" s="15" t="s">
        <v>19</v>
      </c>
      <c r="C44" s="15" t="s">
        <v>11</v>
      </c>
      <c r="D44" s="15" t="s">
        <v>67</v>
      </c>
      <c r="E44" s="15">
        <v>1</v>
      </c>
      <c r="H44">
        <v>39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4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5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/>
    </row>
    <row r="45" spans="1:40" x14ac:dyDescent="0.25">
      <c r="A45" s="15">
        <v>39</v>
      </c>
      <c r="B45" s="15" t="s">
        <v>7</v>
      </c>
      <c r="C45" s="15" t="s">
        <v>8</v>
      </c>
      <c r="D45" s="15" t="s">
        <v>37</v>
      </c>
      <c r="E45" s="15">
        <v>4</v>
      </c>
      <c r="H45">
        <v>40</v>
      </c>
      <c r="I45">
        <v>1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/>
    </row>
    <row r="46" spans="1:40" x14ac:dyDescent="0.25">
      <c r="A46" s="15"/>
      <c r="B46" s="15" t="s">
        <v>7</v>
      </c>
      <c r="C46" s="15" t="s">
        <v>12</v>
      </c>
      <c r="D46" s="15" t="s">
        <v>24</v>
      </c>
      <c r="E46" s="15">
        <v>5</v>
      </c>
      <c r="H46">
        <v>41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/>
    </row>
    <row r="47" spans="1:40" x14ac:dyDescent="0.25">
      <c r="A47" s="15">
        <v>40</v>
      </c>
      <c r="B47" s="15" t="s">
        <v>22</v>
      </c>
      <c r="C47" s="15" t="s">
        <v>21</v>
      </c>
      <c r="D47" s="15" t="s">
        <v>9</v>
      </c>
      <c r="E47" s="15">
        <v>1</v>
      </c>
      <c r="H47">
        <v>42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1</v>
      </c>
      <c r="T47">
        <v>0</v>
      </c>
      <c r="U47">
        <v>1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/>
    </row>
    <row r="48" spans="1:40" x14ac:dyDescent="0.25">
      <c r="A48" s="15">
        <v>41</v>
      </c>
      <c r="B48" s="15" t="s">
        <v>7</v>
      </c>
      <c r="C48" s="15" t="s">
        <v>12</v>
      </c>
      <c r="D48" s="15" t="s">
        <v>24</v>
      </c>
      <c r="E48" s="15">
        <v>1</v>
      </c>
      <c r="H48">
        <v>43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3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1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/>
    </row>
    <row r="49" spans="1:40" x14ac:dyDescent="0.25">
      <c r="A49" s="15">
        <v>42</v>
      </c>
      <c r="B49" s="15" t="s">
        <v>7</v>
      </c>
      <c r="C49" s="15" t="s">
        <v>8</v>
      </c>
      <c r="D49" s="15" t="s">
        <v>9</v>
      </c>
      <c r="E49" s="15">
        <v>1</v>
      </c>
      <c r="H49">
        <v>44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3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2</v>
      </c>
      <c r="AM49">
        <v>0</v>
      </c>
      <c r="AN49"/>
    </row>
    <row r="50" spans="1:40" x14ac:dyDescent="0.25">
      <c r="A50" s="15"/>
      <c r="B50" s="15" t="s">
        <v>7</v>
      </c>
      <c r="C50" s="15" t="s">
        <v>8</v>
      </c>
      <c r="D50" s="15" t="s">
        <v>18</v>
      </c>
      <c r="E50" s="15">
        <v>1</v>
      </c>
      <c r="H50">
        <v>45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2</v>
      </c>
      <c r="W50">
        <v>0</v>
      </c>
      <c r="X50">
        <v>0</v>
      </c>
      <c r="Y50">
        <v>0</v>
      </c>
      <c r="Z50">
        <v>0</v>
      </c>
      <c r="AA50">
        <v>4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7</v>
      </c>
      <c r="AM50">
        <v>0</v>
      </c>
      <c r="AN50"/>
    </row>
    <row r="51" spans="1:40" x14ac:dyDescent="0.25">
      <c r="A51" s="15">
        <v>43</v>
      </c>
      <c r="B51" s="15" t="s">
        <v>7</v>
      </c>
      <c r="C51" s="15" t="s">
        <v>14</v>
      </c>
      <c r="D51" s="15" t="s">
        <v>9</v>
      </c>
      <c r="E51" s="15">
        <v>1</v>
      </c>
      <c r="H51">
        <v>46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4</v>
      </c>
      <c r="T51">
        <v>0</v>
      </c>
      <c r="U51">
        <v>1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2</v>
      </c>
      <c r="AK51">
        <v>0</v>
      </c>
      <c r="AL51">
        <v>0</v>
      </c>
      <c r="AM51">
        <v>0</v>
      </c>
      <c r="AN51"/>
    </row>
    <row r="52" spans="1:40" x14ac:dyDescent="0.25">
      <c r="A52" s="15"/>
      <c r="B52" s="15" t="s">
        <v>19</v>
      </c>
      <c r="C52" s="15" t="s">
        <v>20</v>
      </c>
      <c r="D52" s="15" t="s">
        <v>9</v>
      </c>
      <c r="E52" s="15">
        <v>3</v>
      </c>
      <c r="H52">
        <v>47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3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/>
    </row>
    <row r="53" spans="1:40" x14ac:dyDescent="0.25">
      <c r="A53" s="15">
        <v>44</v>
      </c>
      <c r="B53" s="15" t="s">
        <v>7</v>
      </c>
      <c r="C53" s="15" t="s">
        <v>12</v>
      </c>
      <c r="D53" s="15" t="s">
        <v>24</v>
      </c>
      <c r="E53" s="15">
        <v>3</v>
      </c>
      <c r="H53">
        <v>48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/>
    </row>
    <row r="54" spans="1:40" x14ac:dyDescent="0.25">
      <c r="A54" s="15"/>
      <c r="B54" s="15" t="s">
        <v>22</v>
      </c>
      <c r="C54" s="15" t="s">
        <v>11</v>
      </c>
      <c r="D54" s="15" t="s">
        <v>60</v>
      </c>
      <c r="E54" s="15">
        <v>2</v>
      </c>
      <c r="H54">
        <v>49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11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/>
    </row>
    <row r="55" spans="1:40" x14ac:dyDescent="0.25">
      <c r="A55" s="15">
        <v>45</v>
      </c>
      <c r="B55" s="15" t="s">
        <v>7</v>
      </c>
      <c r="C55" s="15" t="s">
        <v>8</v>
      </c>
      <c r="D55" s="15" t="s">
        <v>16</v>
      </c>
      <c r="E55" s="15">
        <v>2</v>
      </c>
      <c r="H55">
        <v>50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/>
    </row>
    <row r="56" spans="1:40" x14ac:dyDescent="0.25">
      <c r="A56" s="15"/>
      <c r="B56" s="15" t="s">
        <v>7</v>
      </c>
      <c r="C56" s="15" t="s">
        <v>17</v>
      </c>
      <c r="D56" s="15" t="s">
        <v>23</v>
      </c>
      <c r="E56" s="15">
        <v>4</v>
      </c>
      <c r="H56">
        <v>51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4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/>
    </row>
    <row r="57" spans="1:40" x14ac:dyDescent="0.25">
      <c r="A57" s="15"/>
      <c r="B57" s="15" t="s">
        <v>22</v>
      </c>
      <c r="C57" s="15" t="s">
        <v>11</v>
      </c>
      <c r="D57" s="15" t="s">
        <v>60</v>
      </c>
      <c r="E57" s="15">
        <v>7</v>
      </c>
      <c r="H57">
        <v>52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1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/>
    </row>
    <row r="58" spans="1:40" x14ac:dyDescent="0.25">
      <c r="A58" s="15">
        <v>46</v>
      </c>
      <c r="B58" s="15" t="s">
        <v>7</v>
      </c>
      <c r="C58" s="15" t="s">
        <v>8</v>
      </c>
      <c r="D58" s="15" t="s">
        <v>18</v>
      </c>
      <c r="E58" s="15">
        <v>4</v>
      </c>
      <c r="H58">
        <v>53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1</v>
      </c>
      <c r="U58">
        <v>1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/>
    </row>
    <row r="59" spans="1:40" x14ac:dyDescent="0.25">
      <c r="A59" s="15"/>
      <c r="B59" s="15" t="s">
        <v>7</v>
      </c>
      <c r="C59" s="15" t="s">
        <v>8</v>
      </c>
      <c r="D59" s="15" t="s">
        <v>9</v>
      </c>
      <c r="E59" s="15">
        <v>1</v>
      </c>
      <c r="H59">
        <v>54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1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/>
    </row>
    <row r="60" spans="1:40" x14ac:dyDescent="0.25">
      <c r="A60" s="15"/>
      <c r="B60" s="15" t="s">
        <v>22</v>
      </c>
      <c r="C60" s="15" t="s">
        <v>25</v>
      </c>
      <c r="D60" s="15" t="s">
        <v>67</v>
      </c>
      <c r="E60" s="15">
        <v>2</v>
      </c>
      <c r="H60">
        <v>55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2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/>
    </row>
    <row r="61" spans="1:40" x14ac:dyDescent="0.25">
      <c r="A61" s="15">
        <v>47</v>
      </c>
      <c r="B61" s="15" t="s">
        <v>7</v>
      </c>
      <c r="C61" s="15" t="s">
        <v>8</v>
      </c>
      <c r="D61" s="15" t="s">
        <v>18</v>
      </c>
      <c r="E61" s="15">
        <v>3</v>
      </c>
      <c r="H61">
        <v>56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3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/>
    </row>
    <row r="62" spans="1:40" x14ac:dyDescent="0.25">
      <c r="A62" s="15">
        <v>48</v>
      </c>
      <c r="B62" s="15">
        <v>0</v>
      </c>
      <c r="C62" s="15"/>
      <c r="D62" s="15"/>
      <c r="E62" s="15"/>
      <c r="H62">
        <v>57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5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/>
    </row>
    <row r="63" spans="1:40" x14ac:dyDescent="0.25">
      <c r="A63" s="15">
        <v>49</v>
      </c>
      <c r="B63" s="15" t="s">
        <v>7</v>
      </c>
      <c r="C63" s="15" t="s">
        <v>8</v>
      </c>
      <c r="D63" s="15" t="s">
        <v>68</v>
      </c>
      <c r="E63" s="15">
        <v>11</v>
      </c>
      <c r="H63">
        <v>58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5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/>
    </row>
    <row r="64" spans="1:40" x14ac:dyDescent="0.25">
      <c r="A64" s="15"/>
      <c r="B64" s="15" t="s">
        <v>7</v>
      </c>
      <c r="C64" s="15" t="s">
        <v>12</v>
      </c>
      <c r="D64" s="15" t="s">
        <v>24</v>
      </c>
      <c r="E64" s="15">
        <v>1</v>
      </c>
      <c r="H64">
        <v>59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1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/>
    </row>
    <row r="65" spans="1:40" x14ac:dyDescent="0.25">
      <c r="A65" s="15">
        <v>50</v>
      </c>
      <c r="B65" s="15">
        <v>0</v>
      </c>
      <c r="C65" s="15"/>
      <c r="D65" s="15"/>
      <c r="E65" s="15"/>
      <c r="H65"/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/>
    </row>
    <row r="66" spans="1:40" x14ac:dyDescent="0.25">
      <c r="A66" s="15">
        <v>51</v>
      </c>
      <c r="B66" s="15" t="s">
        <v>7</v>
      </c>
      <c r="C66" s="15" t="s">
        <v>8</v>
      </c>
      <c r="D66" s="15" t="s">
        <v>31</v>
      </c>
      <c r="E66" s="15">
        <v>4</v>
      </c>
      <c r="H66"/>
      <c r="I66">
        <f t="shared" ref="I66:AM66" ca="1" si="0">SUM(I6:I85)</f>
        <v>1</v>
      </c>
      <c r="J66">
        <f t="shared" ca="1" si="0"/>
        <v>0</v>
      </c>
      <c r="K66">
        <f t="shared" ca="1" si="0"/>
        <v>0</v>
      </c>
      <c r="L66">
        <f t="shared" ca="1" si="0"/>
        <v>0</v>
      </c>
      <c r="M66">
        <f t="shared" ca="1" si="0"/>
        <v>0</v>
      </c>
      <c r="N66">
        <f t="shared" ca="1" si="0"/>
        <v>0</v>
      </c>
      <c r="O66">
        <f t="shared" ca="1" si="0"/>
        <v>4</v>
      </c>
      <c r="P66">
        <f t="shared" ca="1" si="0"/>
        <v>0</v>
      </c>
      <c r="Q66">
        <f t="shared" ca="1" si="0"/>
        <v>16</v>
      </c>
      <c r="R66">
        <f t="shared" ca="1" si="0"/>
        <v>0</v>
      </c>
      <c r="S66">
        <f t="shared" ca="1" si="0"/>
        <v>13</v>
      </c>
      <c r="T66">
        <f t="shared" ca="1" si="0"/>
        <v>14</v>
      </c>
      <c r="U66">
        <f t="shared" ca="1" si="0"/>
        <v>18</v>
      </c>
      <c r="V66">
        <f t="shared" ca="1" si="0"/>
        <v>4</v>
      </c>
      <c r="W66">
        <f t="shared" ca="1" si="0"/>
        <v>0</v>
      </c>
      <c r="X66">
        <f t="shared" ca="1" si="0"/>
        <v>4</v>
      </c>
      <c r="Y66">
        <f t="shared" ca="1" si="0"/>
        <v>1</v>
      </c>
      <c r="Z66">
        <f t="shared" ca="1" si="0"/>
        <v>0</v>
      </c>
      <c r="AA66">
        <f t="shared" ca="1" si="0"/>
        <v>4</v>
      </c>
      <c r="AB66">
        <f t="shared" ca="1" si="0"/>
        <v>0</v>
      </c>
      <c r="AC66">
        <f t="shared" ca="1" si="0"/>
        <v>0</v>
      </c>
      <c r="AD66">
        <f t="shared" ca="1" si="0"/>
        <v>10</v>
      </c>
      <c r="AE66">
        <f t="shared" ca="1" si="0"/>
        <v>0</v>
      </c>
      <c r="AF66">
        <f t="shared" ca="1" si="0"/>
        <v>0</v>
      </c>
      <c r="AG66">
        <f t="shared" ca="1" si="0"/>
        <v>0</v>
      </c>
      <c r="AH66">
        <f t="shared" ca="1" si="0"/>
        <v>0</v>
      </c>
      <c r="AI66">
        <f t="shared" ca="1" si="0"/>
        <v>0</v>
      </c>
      <c r="AJ66">
        <f t="shared" ca="1" si="0"/>
        <v>2</v>
      </c>
      <c r="AK66">
        <f t="shared" ca="1" si="0"/>
        <v>0</v>
      </c>
      <c r="AL66">
        <f t="shared" ca="1" si="0"/>
        <v>9</v>
      </c>
      <c r="AM66">
        <f t="shared" ca="1" si="0"/>
        <v>1</v>
      </c>
      <c r="AN66">
        <f ca="1">SUM(I66:AM66)</f>
        <v>101</v>
      </c>
    </row>
    <row r="67" spans="1:40" x14ac:dyDescent="0.25">
      <c r="A67" s="15">
        <v>52</v>
      </c>
      <c r="B67" s="15" t="s">
        <v>7</v>
      </c>
      <c r="C67" s="15" t="s">
        <v>8</v>
      </c>
      <c r="D67" s="15" t="s">
        <v>9</v>
      </c>
      <c r="E67" s="15">
        <v>1</v>
      </c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</row>
    <row r="68" spans="1:40" x14ac:dyDescent="0.25">
      <c r="A68" s="15">
        <v>53</v>
      </c>
      <c r="B68" s="15" t="s">
        <v>7</v>
      </c>
      <c r="C68" s="15" t="s">
        <v>8</v>
      </c>
      <c r="D68" s="15" t="s">
        <v>9</v>
      </c>
      <c r="E68" s="15">
        <v>1</v>
      </c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</row>
    <row r="69" spans="1:40" x14ac:dyDescent="0.25">
      <c r="A69" s="15"/>
      <c r="B69" s="15" t="s">
        <v>28</v>
      </c>
      <c r="C69" s="15" t="s">
        <v>8</v>
      </c>
      <c r="D69" s="15" t="s">
        <v>30</v>
      </c>
      <c r="E69" s="15">
        <v>1</v>
      </c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</row>
    <row r="70" spans="1:40" x14ac:dyDescent="0.25">
      <c r="A70" s="15">
        <v>54</v>
      </c>
      <c r="B70" s="15" t="s">
        <v>7</v>
      </c>
      <c r="C70" s="15" t="s">
        <v>8</v>
      </c>
      <c r="D70" s="15" t="s">
        <v>9</v>
      </c>
      <c r="E70" s="15">
        <v>1</v>
      </c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</row>
    <row r="71" spans="1:40" x14ac:dyDescent="0.25">
      <c r="A71" s="15">
        <v>55</v>
      </c>
      <c r="B71" s="15" t="s">
        <v>7</v>
      </c>
      <c r="C71" s="15" t="s">
        <v>8</v>
      </c>
      <c r="D71" s="15" t="s">
        <v>16</v>
      </c>
      <c r="E71" s="15">
        <v>2</v>
      </c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</row>
    <row r="72" spans="1:40" x14ac:dyDescent="0.25">
      <c r="A72" s="15">
        <v>56</v>
      </c>
      <c r="B72" s="15" t="s">
        <v>28</v>
      </c>
      <c r="C72" s="15" t="s">
        <v>8</v>
      </c>
      <c r="D72" s="15" t="s">
        <v>30</v>
      </c>
      <c r="E72" s="15">
        <v>3</v>
      </c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</row>
    <row r="73" spans="1:40" x14ac:dyDescent="0.25">
      <c r="A73" s="15">
        <v>57</v>
      </c>
      <c r="B73" s="15" t="s">
        <v>28</v>
      </c>
      <c r="C73" s="15" t="s">
        <v>8</v>
      </c>
      <c r="D73" s="15" t="s">
        <v>30</v>
      </c>
      <c r="E73" s="15">
        <v>5</v>
      </c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</row>
    <row r="74" spans="1:40" x14ac:dyDescent="0.25">
      <c r="A74" s="15">
        <v>58</v>
      </c>
      <c r="B74" s="15" t="s">
        <v>28</v>
      </c>
      <c r="C74" s="15" t="s">
        <v>8</v>
      </c>
      <c r="D74" s="15" t="s">
        <v>30</v>
      </c>
      <c r="E74" s="15">
        <v>5</v>
      </c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</row>
    <row r="75" spans="1:40" x14ac:dyDescent="0.25">
      <c r="A75" s="15">
        <v>59</v>
      </c>
      <c r="B75" s="15" t="s">
        <v>22</v>
      </c>
      <c r="C75" s="15" t="s">
        <v>21</v>
      </c>
      <c r="D75" s="15" t="s">
        <v>9</v>
      </c>
      <c r="E75" s="15">
        <v>1</v>
      </c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</row>
    <row r="76" spans="1:40" x14ac:dyDescent="0.25">
      <c r="A76" s="15">
        <v>60</v>
      </c>
      <c r="B76" s="15" t="s">
        <v>28</v>
      </c>
      <c r="C76" s="15" t="s">
        <v>8</v>
      </c>
      <c r="D76" s="15" t="s">
        <v>30</v>
      </c>
      <c r="E76" s="15">
        <v>1</v>
      </c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</row>
    <row r="77" spans="1:40" x14ac:dyDescent="0.25">
      <c r="E77" s="2">
        <f>SUM(E6:E76)</f>
        <v>102</v>
      </c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</row>
    <row r="78" spans="1:40" x14ac:dyDescent="0.25"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</row>
    <row r="79" spans="1:40" x14ac:dyDescent="0.25">
      <c r="G79" s="11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</row>
    <row r="80" spans="1:40" x14ac:dyDescent="0.25">
      <c r="G80" s="14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</row>
    <row r="81" spans="7:40" x14ac:dyDescent="0.25">
      <c r="G81" s="6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</row>
    <row r="82" spans="7:40" x14ac:dyDescent="0.25">
      <c r="G82" s="6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</row>
    <row r="83" spans="7:40" x14ac:dyDescent="0.25">
      <c r="G83" s="14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</row>
    <row r="84" spans="7:40" x14ac:dyDescent="0.25">
      <c r="G84" s="6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</row>
    <row r="85" spans="7:40" x14ac:dyDescent="0.25">
      <c r="G85" s="6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</row>
    <row r="86" spans="7:40" x14ac:dyDescent="0.25">
      <c r="G86" s="6"/>
      <c r="H86"/>
    </row>
    <row r="87" spans="7:40" x14ac:dyDescent="0.25">
      <c r="G87" s="6"/>
      <c r="H87" s="14"/>
      <c r="I87" s="1"/>
      <c r="J87" s="1"/>
      <c r="K87" s="6"/>
    </row>
    <row r="88" spans="7:40" x14ac:dyDescent="0.25">
      <c r="G88" s="6"/>
      <c r="H88" s="14"/>
      <c r="I88" s="1"/>
      <c r="J88" s="1"/>
      <c r="K88" s="6"/>
    </row>
    <row r="89" spans="7:40" x14ac:dyDescent="0.25">
      <c r="G89" s="1"/>
      <c r="H89" s="14"/>
      <c r="I89" s="1"/>
      <c r="J89" s="1"/>
      <c r="K89" s="1"/>
    </row>
    <row r="90" spans="7:40" x14ac:dyDescent="0.25">
      <c r="G90" s="1"/>
      <c r="H90" s="14"/>
      <c r="I90" s="6"/>
      <c r="J90" s="1"/>
      <c r="K90" s="6"/>
    </row>
    <row r="91" spans="7:40" x14ac:dyDescent="0.25">
      <c r="G91" s="6"/>
      <c r="H91" s="14"/>
      <c r="I91" s="1"/>
      <c r="J91" s="1"/>
      <c r="K91" s="6"/>
    </row>
    <row r="92" spans="7:40" x14ac:dyDescent="0.25">
      <c r="G92" s="14"/>
      <c r="H92" s="14"/>
      <c r="I92" s="1"/>
      <c r="J92" s="14"/>
      <c r="K92" s="6"/>
    </row>
    <row r="93" spans="7:40" x14ac:dyDescent="0.25">
      <c r="G93" s="6"/>
      <c r="H93" s="14"/>
      <c r="I93" s="1"/>
      <c r="J93" s="1"/>
      <c r="K93" s="6"/>
    </row>
    <row r="94" spans="7:40" x14ac:dyDescent="0.25">
      <c r="G94" s="6"/>
      <c r="H94" s="6"/>
      <c r="I94" s="1"/>
      <c r="J94" s="14"/>
      <c r="K94" s="1"/>
    </row>
    <row r="95" spans="7:40" x14ac:dyDescent="0.25">
      <c r="G95" s="6"/>
      <c r="H95" s="6"/>
      <c r="I95" s="1"/>
      <c r="J95" s="1"/>
      <c r="K95" s="1"/>
    </row>
    <row r="97" spans="6:22" x14ac:dyDescent="0.25">
      <c r="F97" s="60" t="s">
        <v>98</v>
      </c>
      <c r="G97" s="37" t="s">
        <v>6</v>
      </c>
      <c r="H97" s="37" t="s">
        <v>88</v>
      </c>
      <c r="I97" s="37" t="s">
        <v>3</v>
      </c>
      <c r="J97" s="37" t="s">
        <v>65</v>
      </c>
      <c r="K97" s="36" t="s">
        <v>99</v>
      </c>
      <c r="L97" s="36" t="s">
        <v>79</v>
      </c>
      <c r="M97" s="36" t="s">
        <v>81</v>
      </c>
      <c r="N97" s="36" t="s">
        <v>80</v>
      </c>
      <c r="O97" s="60" t="s">
        <v>100</v>
      </c>
    </row>
    <row r="98" spans="6:22" x14ac:dyDescent="0.25">
      <c r="F98" s="61">
        <v>1</v>
      </c>
      <c r="G98" s="59" t="s">
        <v>22</v>
      </c>
      <c r="H98" s="59" t="s">
        <v>89</v>
      </c>
      <c r="I98" s="59" t="s">
        <v>21</v>
      </c>
      <c r="J98" s="59" t="s">
        <v>9</v>
      </c>
      <c r="K98" s="47">
        <v>2</v>
      </c>
      <c r="L98" s="62">
        <f>K98/102</f>
        <v>1.9607843137254902E-2</v>
      </c>
      <c r="M98" s="63">
        <f>LN(L98)</f>
        <v>-3.9318256327243257</v>
      </c>
      <c r="N98" s="63">
        <f>L98*M98</f>
        <v>-7.7094620249496579E-2</v>
      </c>
      <c r="O98" s="64">
        <f>L98^2</f>
        <v>3.8446751249519417E-4</v>
      </c>
      <c r="R98" t="s">
        <v>6</v>
      </c>
      <c r="S98" t="s">
        <v>137</v>
      </c>
      <c r="U98" t="s">
        <v>6</v>
      </c>
      <c r="V98" s="2" t="s">
        <v>138</v>
      </c>
    </row>
    <row r="99" spans="6:22" x14ac:dyDescent="0.25">
      <c r="F99" s="18">
        <v>2</v>
      </c>
      <c r="G99" s="21" t="s">
        <v>19</v>
      </c>
      <c r="H99" s="21" t="s">
        <v>91</v>
      </c>
      <c r="I99" s="8" t="s">
        <v>20</v>
      </c>
      <c r="J99" s="21" t="s">
        <v>9</v>
      </c>
      <c r="K99" s="8">
        <v>4</v>
      </c>
      <c r="L99" s="19">
        <f t="shared" ref="L99:L111" si="1">K99/102</f>
        <v>3.9215686274509803E-2</v>
      </c>
      <c r="M99" s="20">
        <f t="shared" ref="M99:M111" si="2">LN(L99)</f>
        <v>-3.2386784521643803</v>
      </c>
      <c r="N99" s="20">
        <f t="shared" ref="N99:N111" si="3">L99*M99</f>
        <v>-0.12700699812409336</v>
      </c>
      <c r="O99" s="34">
        <f t="shared" ref="O99:O111" si="4">L99^2</f>
        <v>1.5378700499807767E-3</v>
      </c>
      <c r="R99" t="s">
        <v>22</v>
      </c>
      <c r="S99">
        <v>3</v>
      </c>
      <c r="U99" t="s">
        <v>22</v>
      </c>
      <c r="V99" s="2">
        <f>SUM(K109,K98,K110)</f>
        <v>13</v>
      </c>
    </row>
    <row r="100" spans="6:22" x14ac:dyDescent="0.25">
      <c r="F100" s="18">
        <v>3</v>
      </c>
      <c r="G100" s="21" t="s">
        <v>7</v>
      </c>
      <c r="H100" s="21" t="s">
        <v>91</v>
      </c>
      <c r="I100" s="8" t="s">
        <v>8</v>
      </c>
      <c r="J100" s="8" t="s">
        <v>37</v>
      </c>
      <c r="K100" s="8">
        <v>16</v>
      </c>
      <c r="L100" s="19">
        <f t="shared" si="1"/>
        <v>0.15686274509803921</v>
      </c>
      <c r="M100" s="20">
        <f t="shared" si="2"/>
        <v>-1.8523840910444898</v>
      </c>
      <c r="N100" s="20">
        <f t="shared" si="3"/>
        <v>-0.29057005349717485</v>
      </c>
      <c r="O100" s="34">
        <f t="shared" si="4"/>
        <v>2.4605920799692427E-2</v>
      </c>
      <c r="R100" t="s">
        <v>19</v>
      </c>
      <c r="S100">
        <v>2</v>
      </c>
      <c r="U100" t="s">
        <v>19</v>
      </c>
      <c r="V100" s="2">
        <f>SUM(K111,K99)</f>
        <v>5</v>
      </c>
    </row>
    <row r="101" spans="6:22" x14ac:dyDescent="0.25">
      <c r="F101" s="18">
        <v>4</v>
      </c>
      <c r="G101" s="21" t="s">
        <v>7</v>
      </c>
      <c r="H101" s="21" t="s">
        <v>91</v>
      </c>
      <c r="I101" s="8" t="s">
        <v>8</v>
      </c>
      <c r="J101" s="8" t="s">
        <v>18</v>
      </c>
      <c r="K101" s="8">
        <v>13</v>
      </c>
      <c r="L101" s="19">
        <f t="shared" si="1"/>
        <v>0.12745098039215685</v>
      </c>
      <c r="M101" s="20">
        <f t="shared" si="2"/>
        <v>-2.0600234558227344</v>
      </c>
      <c r="N101" s="20">
        <f t="shared" si="3"/>
        <v>-0.26255200907544651</v>
      </c>
      <c r="O101" s="34">
        <f t="shared" si="4"/>
        <v>1.6243752402921949E-2</v>
      </c>
      <c r="R101" t="s">
        <v>7</v>
      </c>
      <c r="S101">
        <v>8</v>
      </c>
      <c r="U101" t="s">
        <v>7</v>
      </c>
      <c r="V101" s="2">
        <f>SUM(K100,K101,K103,K104,K105,K107,K106,K108)</f>
        <v>69</v>
      </c>
    </row>
    <row r="102" spans="6:22" x14ac:dyDescent="0.25">
      <c r="F102" s="18">
        <v>5</v>
      </c>
      <c r="G102" s="7" t="s">
        <v>28</v>
      </c>
      <c r="H102" s="21" t="s">
        <v>91</v>
      </c>
      <c r="I102" s="8" t="s">
        <v>8</v>
      </c>
      <c r="J102" s="8" t="s">
        <v>30</v>
      </c>
      <c r="K102" s="8">
        <v>15</v>
      </c>
      <c r="L102" s="19">
        <f t="shared" si="1"/>
        <v>0.14705882352941177</v>
      </c>
      <c r="M102" s="20">
        <f t="shared" si="2"/>
        <v>-1.9169226121820611</v>
      </c>
      <c r="N102" s="20">
        <f t="shared" si="3"/>
        <v>-0.28190038414442076</v>
      </c>
      <c r="O102" s="34">
        <f t="shared" si="4"/>
        <v>2.1626297577854673E-2</v>
      </c>
      <c r="R102" t="s">
        <v>28</v>
      </c>
      <c r="S102">
        <v>1</v>
      </c>
      <c r="U102" t="s">
        <v>28</v>
      </c>
      <c r="V102" s="2">
        <f>SUM(K102)</f>
        <v>15</v>
      </c>
    </row>
    <row r="103" spans="6:22" x14ac:dyDescent="0.25">
      <c r="F103" s="18">
        <v>6</v>
      </c>
      <c r="G103" s="7" t="s">
        <v>7</v>
      </c>
      <c r="H103" s="21" t="s">
        <v>91</v>
      </c>
      <c r="I103" s="8" t="s">
        <v>8</v>
      </c>
      <c r="J103" s="21" t="s">
        <v>9</v>
      </c>
      <c r="K103" s="8">
        <v>17</v>
      </c>
      <c r="L103" s="19">
        <f t="shared" si="1"/>
        <v>0.16666666666666666</v>
      </c>
      <c r="M103" s="20">
        <f t="shared" si="2"/>
        <v>-1.791759469228055</v>
      </c>
      <c r="N103" s="20">
        <f t="shared" si="3"/>
        <v>-0.29862657820467581</v>
      </c>
      <c r="O103" s="34">
        <f t="shared" si="4"/>
        <v>2.7777777777777776E-2</v>
      </c>
    </row>
    <row r="104" spans="6:22" x14ac:dyDescent="0.25">
      <c r="F104" s="18">
        <v>7</v>
      </c>
      <c r="G104" s="7" t="s">
        <v>7</v>
      </c>
      <c r="H104" s="21" t="s">
        <v>91</v>
      </c>
      <c r="I104" s="8" t="s">
        <v>8</v>
      </c>
      <c r="J104" s="21" t="s">
        <v>16</v>
      </c>
      <c r="K104" s="8">
        <v>4</v>
      </c>
      <c r="L104" s="19">
        <f t="shared" si="1"/>
        <v>3.9215686274509803E-2</v>
      </c>
      <c r="M104" s="20">
        <f t="shared" si="2"/>
        <v>-3.2386784521643803</v>
      </c>
      <c r="N104" s="20">
        <f t="shared" si="3"/>
        <v>-0.12700699812409336</v>
      </c>
      <c r="O104" s="34">
        <f t="shared" si="4"/>
        <v>1.5378700499807767E-3</v>
      </c>
    </row>
    <row r="105" spans="6:22" x14ac:dyDescent="0.25">
      <c r="F105" s="18">
        <v>8</v>
      </c>
      <c r="G105" s="7" t="s">
        <v>7</v>
      </c>
      <c r="H105" s="21" t="s">
        <v>91</v>
      </c>
      <c r="I105" s="8" t="s">
        <v>8</v>
      </c>
      <c r="J105" s="8" t="s">
        <v>31</v>
      </c>
      <c r="K105" s="8">
        <v>4</v>
      </c>
      <c r="L105" s="19">
        <f t="shared" si="1"/>
        <v>3.9215686274509803E-2</v>
      </c>
      <c r="M105" s="20">
        <f t="shared" si="2"/>
        <v>-3.2386784521643803</v>
      </c>
      <c r="N105" s="20">
        <f t="shared" si="3"/>
        <v>-0.12700699812409336</v>
      </c>
      <c r="O105" s="34">
        <f t="shared" si="4"/>
        <v>1.5378700499807767E-3</v>
      </c>
    </row>
    <row r="106" spans="6:22" x14ac:dyDescent="0.25">
      <c r="F106" s="18">
        <v>9</v>
      </c>
      <c r="G106" s="7" t="s">
        <v>7</v>
      </c>
      <c r="H106" s="21" t="s">
        <v>91</v>
      </c>
      <c r="I106" s="8" t="s">
        <v>14</v>
      </c>
      <c r="J106" s="8" t="s">
        <v>9</v>
      </c>
      <c r="K106" s="8">
        <v>1</v>
      </c>
      <c r="L106" s="19">
        <f t="shared" si="1"/>
        <v>9.8039215686274508E-3</v>
      </c>
      <c r="M106" s="20">
        <f t="shared" si="2"/>
        <v>-4.6249728132842707</v>
      </c>
      <c r="N106" s="20">
        <f t="shared" si="3"/>
        <v>-4.534287071847324E-2</v>
      </c>
      <c r="O106" s="34">
        <f t="shared" si="4"/>
        <v>9.6116878123798542E-5</v>
      </c>
    </row>
    <row r="107" spans="6:22" x14ac:dyDescent="0.25">
      <c r="F107" s="18">
        <v>10</v>
      </c>
      <c r="G107" s="7" t="s">
        <v>7</v>
      </c>
      <c r="H107" s="21" t="s">
        <v>91</v>
      </c>
      <c r="I107" s="8" t="s">
        <v>14</v>
      </c>
      <c r="J107" s="8" t="s">
        <v>23</v>
      </c>
      <c r="K107" s="8">
        <v>4</v>
      </c>
      <c r="L107" s="19">
        <f t="shared" si="1"/>
        <v>3.9215686274509803E-2</v>
      </c>
      <c r="M107" s="20">
        <f t="shared" si="2"/>
        <v>-3.2386784521643803</v>
      </c>
      <c r="N107" s="20">
        <f t="shared" si="3"/>
        <v>-0.12700699812409336</v>
      </c>
      <c r="O107" s="34">
        <f t="shared" si="4"/>
        <v>1.5378700499807767E-3</v>
      </c>
    </row>
    <row r="108" spans="6:22" x14ac:dyDescent="0.25">
      <c r="F108" s="18">
        <v>11</v>
      </c>
      <c r="G108" s="7" t="s">
        <v>7</v>
      </c>
      <c r="H108" s="21" t="s">
        <v>91</v>
      </c>
      <c r="I108" s="7" t="s">
        <v>12</v>
      </c>
      <c r="J108" s="8" t="s">
        <v>13</v>
      </c>
      <c r="K108" s="8">
        <v>10</v>
      </c>
      <c r="L108" s="19">
        <f t="shared" si="1"/>
        <v>9.8039215686274508E-2</v>
      </c>
      <c r="M108" s="20">
        <f t="shared" si="2"/>
        <v>-2.3223877202902252</v>
      </c>
      <c r="N108" s="20">
        <f t="shared" si="3"/>
        <v>-0.22768507061668875</v>
      </c>
      <c r="O108" s="34">
        <f t="shared" si="4"/>
        <v>9.6116878123798533E-3</v>
      </c>
    </row>
    <row r="109" spans="6:22" x14ac:dyDescent="0.25">
      <c r="F109" s="18">
        <v>12</v>
      </c>
      <c r="G109" s="8" t="s">
        <v>22</v>
      </c>
      <c r="H109" s="21" t="s">
        <v>90</v>
      </c>
      <c r="I109" s="7" t="s">
        <v>25</v>
      </c>
      <c r="J109" s="8" t="s">
        <v>67</v>
      </c>
      <c r="K109" s="8">
        <v>2</v>
      </c>
      <c r="L109" s="19">
        <f t="shared" si="1"/>
        <v>1.9607843137254902E-2</v>
      </c>
      <c r="M109" s="20">
        <f t="shared" si="2"/>
        <v>-3.9318256327243257</v>
      </c>
      <c r="N109" s="20">
        <f t="shared" si="3"/>
        <v>-7.7094620249496579E-2</v>
      </c>
      <c r="O109" s="34">
        <f t="shared" si="4"/>
        <v>3.8446751249519417E-4</v>
      </c>
    </row>
    <row r="110" spans="6:22" x14ac:dyDescent="0.25">
      <c r="F110" s="18">
        <v>13</v>
      </c>
      <c r="G110" s="8" t="s">
        <v>22</v>
      </c>
      <c r="H110" s="21" t="s">
        <v>93</v>
      </c>
      <c r="I110" s="7" t="s">
        <v>11</v>
      </c>
      <c r="J110" s="7" t="s">
        <v>60</v>
      </c>
      <c r="K110" s="8">
        <v>9</v>
      </c>
      <c r="L110" s="19">
        <f t="shared" si="1"/>
        <v>8.8235294117647065E-2</v>
      </c>
      <c r="M110" s="20">
        <f t="shared" si="2"/>
        <v>-2.4277482359480516</v>
      </c>
      <c r="N110" s="20">
        <f t="shared" si="3"/>
        <v>-0.21421307964247516</v>
      </c>
      <c r="O110" s="34">
        <f t="shared" si="4"/>
        <v>7.785467128027683E-3</v>
      </c>
    </row>
    <row r="111" spans="6:22" x14ac:dyDescent="0.25">
      <c r="F111" s="18">
        <v>14</v>
      </c>
      <c r="G111" s="8" t="s">
        <v>19</v>
      </c>
      <c r="H111" s="21" t="s">
        <v>93</v>
      </c>
      <c r="I111" s="8" t="s">
        <v>11</v>
      </c>
      <c r="J111" s="8" t="s">
        <v>67</v>
      </c>
      <c r="K111" s="8">
        <v>1</v>
      </c>
      <c r="L111" s="19">
        <f t="shared" si="1"/>
        <v>9.8039215686274508E-3</v>
      </c>
      <c r="M111" s="20">
        <f t="shared" si="2"/>
        <v>-4.6249728132842707</v>
      </c>
      <c r="N111" s="20">
        <f t="shared" si="3"/>
        <v>-4.534287071847324E-2</v>
      </c>
      <c r="O111" s="34">
        <f t="shared" si="4"/>
        <v>9.6116878123798542E-5</v>
      </c>
    </row>
    <row r="112" spans="6:22" x14ac:dyDescent="0.25">
      <c r="F112" s="165" t="s">
        <v>82</v>
      </c>
      <c r="G112" s="165"/>
      <c r="H112" s="165"/>
      <c r="I112" s="165"/>
      <c r="J112" s="165"/>
      <c r="K112" s="47">
        <f>SUM(K98:K111)</f>
        <v>102</v>
      </c>
      <c r="L112" s="47"/>
      <c r="M112" s="47"/>
      <c r="N112" s="63">
        <f>SUM(N98:N111)</f>
        <v>-2.3284501496131949</v>
      </c>
      <c r="O112" s="63">
        <f>SUM(O98:O111)</f>
        <v>0.11476355247981548</v>
      </c>
    </row>
    <row r="113" spans="6:15" x14ac:dyDescent="0.25">
      <c r="F113" s="166" t="s">
        <v>83</v>
      </c>
      <c r="G113" s="166"/>
      <c r="H113" s="166"/>
      <c r="I113" s="166"/>
      <c r="J113" s="166"/>
      <c r="K113" s="38"/>
      <c r="L113" s="39"/>
      <c r="M113" s="39"/>
      <c r="N113" s="40">
        <f>-(N112)</f>
        <v>2.3284501496131949</v>
      </c>
      <c r="O113" s="39"/>
    </row>
    <row r="114" spans="6:15" x14ac:dyDescent="0.25">
      <c r="F114" s="167" t="s">
        <v>84</v>
      </c>
      <c r="G114" s="167"/>
      <c r="H114" s="167"/>
      <c r="I114" s="167"/>
      <c r="J114" s="167"/>
      <c r="K114" s="41"/>
      <c r="L114" s="42"/>
      <c r="M114" s="42"/>
      <c r="N114" s="43">
        <f>N113/LN(12)</f>
        <v>0.93703727253168501</v>
      </c>
      <c r="O114" s="42"/>
    </row>
    <row r="115" spans="6:15" x14ac:dyDescent="0.25">
      <c r="F115" s="168" t="s">
        <v>85</v>
      </c>
      <c r="G115" s="168"/>
      <c r="H115" s="168"/>
      <c r="I115" s="168"/>
      <c r="J115" s="168"/>
      <c r="K115" s="44"/>
      <c r="L115" s="45"/>
      <c r="M115" s="45"/>
      <c r="N115" s="46">
        <f>O112</f>
        <v>0.11476355247981548</v>
      </c>
      <c r="O115" s="45"/>
    </row>
  </sheetData>
  <mergeCells count="7">
    <mergeCell ref="F115:J115"/>
    <mergeCell ref="F114:J114"/>
    <mergeCell ref="F113:J113"/>
    <mergeCell ref="F112:J112"/>
    <mergeCell ref="A1:C1"/>
    <mergeCell ref="A2:B2"/>
    <mergeCell ref="A3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2"/>
  <sheetViews>
    <sheetView zoomScale="70" zoomScaleNormal="70" workbookViewId="0">
      <pane ySplit="1635" topLeftCell="A94" activePane="bottomLeft"/>
      <selection pane="bottomLeft" activeCell="G96" sqref="G96:P112"/>
    </sheetView>
  </sheetViews>
  <sheetFormatPr defaultRowHeight="15.75" x14ac:dyDescent="0.25"/>
  <cols>
    <col min="1" max="1" width="6.85546875" style="2" customWidth="1"/>
    <col min="2" max="2" width="13.5703125" style="2" customWidth="1"/>
    <col min="3" max="3" width="14.140625" style="2" customWidth="1"/>
    <col min="4" max="4" width="23" style="2" customWidth="1"/>
    <col min="5" max="5" width="14.140625" style="2" customWidth="1"/>
    <col min="6" max="8" width="9.140625" style="2"/>
    <col min="9" max="9" width="14.28515625" style="2" customWidth="1"/>
    <col min="10" max="10" width="9.140625" style="2"/>
    <col min="11" max="11" width="15.85546875" style="2" customWidth="1"/>
    <col min="12" max="12" width="22" style="2" customWidth="1"/>
    <col min="13" max="13" width="12.7109375" style="2" customWidth="1"/>
    <col min="14" max="15" width="9.140625" style="2"/>
    <col min="16" max="16" width="11" style="2" customWidth="1"/>
    <col min="17" max="16384" width="9.140625" style="2"/>
  </cols>
  <sheetData>
    <row r="1" spans="1:39" x14ac:dyDescent="0.25">
      <c r="A1" s="171" t="s">
        <v>0</v>
      </c>
      <c r="B1" s="171"/>
      <c r="C1" s="171"/>
      <c r="D1" s="1" t="s">
        <v>15</v>
      </c>
      <c r="E1" s="2" t="s">
        <v>41</v>
      </c>
      <c r="F1" s="2" t="s">
        <v>48</v>
      </c>
      <c r="H1" s="13" t="s">
        <v>72</v>
      </c>
      <c r="I1" s="13"/>
    </row>
    <row r="2" spans="1:39" x14ac:dyDescent="0.25">
      <c r="A2" s="171" t="s">
        <v>1</v>
      </c>
      <c r="B2" s="171"/>
      <c r="C2" s="4">
        <v>0.63958333333333328</v>
      </c>
      <c r="D2" s="1"/>
      <c r="E2" s="2" t="s">
        <v>42</v>
      </c>
      <c r="F2" s="2" t="s">
        <v>49</v>
      </c>
      <c r="H2" s="13" t="s">
        <v>77</v>
      </c>
      <c r="I2" s="13"/>
    </row>
    <row r="3" spans="1:39" x14ac:dyDescent="0.25">
      <c r="A3" s="171" t="s">
        <v>45</v>
      </c>
      <c r="B3" s="171"/>
      <c r="C3" s="1">
        <v>5</v>
      </c>
      <c r="D3" s="1"/>
    </row>
    <row r="5" spans="1:39" ht="38.25" x14ac:dyDescent="0.25">
      <c r="A5" s="15" t="s">
        <v>2</v>
      </c>
      <c r="B5" s="15" t="s">
        <v>6</v>
      </c>
      <c r="C5" s="15" t="s">
        <v>3</v>
      </c>
      <c r="D5" s="15" t="s">
        <v>4</v>
      </c>
      <c r="E5" s="15" t="s">
        <v>5</v>
      </c>
      <c r="G5" s="102" t="s">
        <v>130</v>
      </c>
      <c r="H5" s="103" t="s">
        <v>101</v>
      </c>
      <c r="I5" s="103" t="s">
        <v>112</v>
      </c>
      <c r="J5" s="104" t="s">
        <v>64</v>
      </c>
      <c r="K5" s="104" t="s">
        <v>102</v>
      </c>
      <c r="L5" s="103" t="s">
        <v>113</v>
      </c>
      <c r="M5" s="104" t="s">
        <v>114</v>
      </c>
      <c r="N5" s="103" t="s">
        <v>103</v>
      </c>
      <c r="O5" s="103" t="s">
        <v>104</v>
      </c>
      <c r="P5" s="104" t="s">
        <v>37</v>
      </c>
      <c r="Q5" s="104" t="s">
        <v>34</v>
      </c>
      <c r="R5" s="104" t="s">
        <v>18</v>
      </c>
      <c r="S5" s="104" t="s">
        <v>30</v>
      </c>
      <c r="T5" s="103" t="s">
        <v>68</v>
      </c>
      <c r="U5" s="103" t="s">
        <v>115</v>
      </c>
      <c r="V5" s="103" t="s">
        <v>116</v>
      </c>
      <c r="W5" s="103" t="s">
        <v>117</v>
      </c>
      <c r="X5" s="103" t="s">
        <v>118</v>
      </c>
      <c r="Y5" s="103" t="s">
        <v>119</v>
      </c>
      <c r="Z5" s="103" t="s">
        <v>120</v>
      </c>
      <c r="AA5" s="103" t="s">
        <v>121</v>
      </c>
      <c r="AB5" s="104" t="s">
        <v>55</v>
      </c>
      <c r="AC5" s="104" t="s">
        <v>13</v>
      </c>
      <c r="AD5" s="103" t="s">
        <v>122</v>
      </c>
      <c r="AE5" s="105" t="s">
        <v>97</v>
      </c>
      <c r="AF5" s="104" t="s">
        <v>123</v>
      </c>
      <c r="AG5" s="104" t="s">
        <v>58</v>
      </c>
      <c r="AH5" s="104" t="s">
        <v>69</v>
      </c>
      <c r="AI5" s="104" t="s">
        <v>124</v>
      </c>
      <c r="AJ5" s="103" t="s">
        <v>125</v>
      </c>
      <c r="AK5" s="104" t="s">
        <v>60</v>
      </c>
      <c r="AL5" s="106" t="s">
        <v>126</v>
      </c>
      <c r="AM5"/>
    </row>
    <row r="6" spans="1:39" x14ac:dyDescent="0.25">
      <c r="A6" s="15">
        <v>1</v>
      </c>
      <c r="B6" s="15" t="s">
        <v>7</v>
      </c>
      <c r="C6" s="15" t="s">
        <v>8</v>
      </c>
      <c r="D6" s="15" t="s">
        <v>9</v>
      </c>
      <c r="E6" s="15">
        <v>5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5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/>
    </row>
    <row r="7" spans="1:39" x14ac:dyDescent="0.25">
      <c r="A7" s="15">
        <v>2</v>
      </c>
      <c r="B7" s="15">
        <v>0</v>
      </c>
      <c r="C7" s="15"/>
      <c r="D7" s="15"/>
      <c r="E7" s="15"/>
      <c r="G7">
        <v>2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/>
    </row>
    <row r="8" spans="1:39" x14ac:dyDescent="0.25">
      <c r="A8" s="15">
        <v>3</v>
      </c>
      <c r="B8" s="15">
        <v>0</v>
      </c>
      <c r="C8" s="15"/>
      <c r="D8" s="15"/>
      <c r="E8" s="15"/>
      <c r="G8">
        <v>3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/>
    </row>
    <row r="9" spans="1:39" x14ac:dyDescent="0.25">
      <c r="A9" s="15">
        <v>4</v>
      </c>
      <c r="B9" s="15">
        <v>0</v>
      </c>
      <c r="C9" s="15"/>
      <c r="D9" s="15"/>
      <c r="E9" s="15"/>
      <c r="G9">
        <v>4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/>
    </row>
    <row r="10" spans="1:39" x14ac:dyDescent="0.25">
      <c r="A10" s="15">
        <v>5</v>
      </c>
      <c r="B10" s="15" t="s">
        <v>7</v>
      </c>
      <c r="C10" s="15" t="s">
        <v>8</v>
      </c>
      <c r="D10" s="15" t="s">
        <v>18</v>
      </c>
      <c r="E10" s="15">
        <v>1</v>
      </c>
      <c r="G10">
        <v>5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1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/>
    </row>
    <row r="11" spans="1:39" x14ac:dyDescent="0.25">
      <c r="A11" s="15">
        <v>6</v>
      </c>
      <c r="B11" s="15" t="s">
        <v>19</v>
      </c>
      <c r="C11" s="15" t="s">
        <v>11</v>
      </c>
      <c r="D11" s="15" t="s">
        <v>67</v>
      </c>
      <c r="E11" s="15">
        <v>10</v>
      </c>
      <c r="G11">
        <v>6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2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10</v>
      </c>
      <c r="AM11"/>
    </row>
    <row r="12" spans="1:39" x14ac:dyDescent="0.25">
      <c r="A12" s="15"/>
      <c r="B12" s="15" t="s">
        <v>7</v>
      </c>
      <c r="C12" s="15" t="s">
        <v>10</v>
      </c>
      <c r="D12" s="15" t="s">
        <v>37</v>
      </c>
      <c r="E12" s="15">
        <v>2</v>
      </c>
      <c r="G12">
        <v>7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7</v>
      </c>
      <c r="O12">
        <v>0</v>
      </c>
      <c r="P12">
        <v>0</v>
      </c>
      <c r="Q12">
        <v>0</v>
      </c>
      <c r="R12">
        <v>1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1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</v>
      </c>
      <c r="AL12">
        <v>0</v>
      </c>
      <c r="AM12"/>
    </row>
    <row r="13" spans="1:39" x14ac:dyDescent="0.25">
      <c r="A13" s="15">
        <v>7</v>
      </c>
      <c r="B13" s="15" t="s">
        <v>22</v>
      </c>
      <c r="C13" s="15" t="s">
        <v>11</v>
      </c>
      <c r="D13" s="15" t="s">
        <v>60</v>
      </c>
      <c r="E13" s="15">
        <v>3</v>
      </c>
      <c r="G13">
        <v>8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5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/>
    </row>
    <row r="14" spans="1:39" x14ac:dyDescent="0.25">
      <c r="A14" s="15"/>
      <c r="B14" s="15" t="s">
        <v>7</v>
      </c>
      <c r="C14" s="15" t="s">
        <v>8</v>
      </c>
      <c r="D14" s="15" t="s">
        <v>18</v>
      </c>
      <c r="E14" s="15">
        <v>1</v>
      </c>
      <c r="G14">
        <v>9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3</v>
      </c>
      <c r="U14">
        <v>0</v>
      </c>
      <c r="V14">
        <v>0</v>
      </c>
      <c r="W14">
        <v>0</v>
      </c>
      <c r="X14">
        <v>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/>
    </row>
    <row r="15" spans="1:39" x14ac:dyDescent="0.25">
      <c r="A15" s="15"/>
      <c r="B15" s="15" t="s">
        <v>7</v>
      </c>
      <c r="C15" s="15" t="s">
        <v>12</v>
      </c>
      <c r="D15" s="15" t="s">
        <v>13</v>
      </c>
      <c r="E15" s="15">
        <v>1</v>
      </c>
      <c r="G15">
        <v>10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2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/>
    </row>
    <row r="16" spans="1:39" x14ac:dyDescent="0.25">
      <c r="A16" s="15"/>
      <c r="B16" s="15" t="s">
        <v>7</v>
      </c>
      <c r="C16" s="15" t="s">
        <v>20</v>
      </c>
      <c r="D16" s="15" t="s">
        <v>67</v>
      </c>
      <c r="E16" s="15">
        <v>7</v>
      </c>
      <c r="G16">
        <v>11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5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/>
    </row>
    <row r="17" spans="1:39" x14ac:dyDescent="0.25">
      <c r="A17" s="15">
        <v>8</v>
      </c>
      <c r="B17" s="15" t="s">
        <v>7</v>
      </c>
      <c r="C17" s="15" t="s">
        <v>8</v>
      </c>
      <c r="D17" s="15" t="s">
        <v>9</v>
      </c>
      <c r="E17" s="15">
        <v>5</v>
      </c>
      <c r="G17">
        <v>12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3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/>
    </row>
    <row r="18" spans="1:39" x14ac:dyDescent="0.25">
      <c r="A18" s="15">
        <v>9</v>
      </c>
      <c r="B18" s="15" t="s">
        <v>7</v>
      </c>
      <c r="C18" s="15" t="s">
        <v>14</v>
      </c>
      <c r="D18" s="15" t="s">
        <v>9</v>
      </c>
      <c r="E18" s="15">
        <v>1</v>
      </c>
      <c r="G18">
        <v>13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  <c r="Y18">
        <v>1</v>
      </c>
      <c r="Z18">
        <v>0</v>
      </c>
      <c r="AA18">
        <v>0</v>
      </c>
      <c r="AB18">
        <v>0</v>
      </c>
      <c r="AC18">
        <v>1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/>
    </row>
    <row r="19" spans="1:39" x14ac:dyDescent="0.25">
      <c r="A19" s="15"/>
      <c r="B19" s="15" t="s">
        <v>7</v>
      </c>
      <c r="C19" s="15" t="s">
        <v>8</v>
      </c>
      <c r="D19" s="15" t="s">
        <v>9</v>
      </c>
      <c r="E19" s="15">
        <v>3</v>
      </c>
      <c r="G19">
        <v>14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/>
    </row>
    <row r="20" spans="1:39" x14ac:dyDescent="0.25">
      <c r="A20" s="15">
        <v>10</v>
      </c>
      <c r="B20" s="15" t="s">
        <v>28</v>
      </c>
      <c r="C20" s="15" t="s">
        <v>8</v>
      </c>
      <c r="D20" s="15" t="s">
        <v>30</v>
      </c>
      <c r="E20" s="15">
        <v>2</v>
      </c>
      <c r="G20">
        <v>15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/>
    </row>
    <row r="21" spans="1:39" x14ac:dyDescent="0.25">
      <c r="A21" s="15">
        <v>11</v>
      </c>
      <c r="B21" s="15" t="s">
        <v>7</v>
      </c>
      <c r="C21" s="15" t="s">
        <v>8</v>
      </c>
      <c r="D21" s="15" t="s">
        <v>18</v>
      </c>
      <c r="E21" s="15">
        <v>5</v>
      </c>
      <c r="G21">
        <v>16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/>
    </row>
    <row r="22" spans="1:39" x14ac:dyDescent="0.25">
      <c r="A22" s="15">
        <v>12</v>
      </c>
      <c r="B22" s="15" t="s">
        <v>7</v>
      </c>
      <c r="C22" s="15" t="s">
        <v>12</v>
      </c>
      <c r="D22" s="15" t="s">
        <v>13</v>
      </c>
      <c r="E22" s="15">
        <v>3</v>
      </c>
      <c r="G22">
        <v>17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/>
    </row>
    <row r="23" spans="1:39" x14ac:dyDescent="0.25">
      <c r="A23" s="15">
        <v>13</v>
      </c>
      <c r="B23" s="15" t="s">
        <v>7</v>
      </c>
      <c r="C23" s="15" t="s">
        <v>14</v>
      </c>
      <c r="D23" s="15" t="s">
        <v>16</v>
      </c>
      <c r="E23" s="15">
        <v>1</v>
      </c>
      <c r="G23">
        <v>18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/>
    </row>
    <row r="24" spans="1:39" x14ac:dyDescent="0.25">
      <c r="A24" s="15"/>
      <c r="B24" s="15" t="s">
        <v>7</v>
      </c>
      <c r="C24" s="15" t="s">
        <v>8</v>
      </c>
      <c r="D24" s="15" t="s">
        <v>9</v>
      </c>
      <c r="E24" s="15">
        <v>1</v>
      </c>
      <c r="G24">
        <v>19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5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/>
    </row>
    <row r="25" spans="1:39" x14ac:dyDescent="0.25">
      <c r="A25" s="15"/>
      <c r="B25" s="15" t="s">
        <v>7</v>
      </c>
      <c r="C25" s="15" t="s">
        <v>12</v>
      </c>
      <c r="D25" s="15" t="s">
        <v>13</v>
      </c>
      <c r="E25" s="15">
        <v>1</v>
      </c>
      <c r="G25">
        <v>20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3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/>
    </row>
    <row r="26" spans="1:39" x14ac:dyDescent="0.25">
      <c r="A26" s="15">
        <v>14</v>
      </c>
      <c r="B26" s="15" t="s">
        <v>7</v>
      </c>
      <c r="C26" s="15" t="s">
        <v>8</v>
      </c>
      <c r="D26" s="15" t="s">
        <v>9</v>
      </c>
      <c r="E26" s="15">
        <v>1</v>
      </c>
      <c r="G26">
        <v>21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/>
    </row>
    <row r="27" spans="1:39" x14ac:dyDescent="0.25">
      <c r="A27" s="15">
        <v>15</v>
      </c>
      <c r="B27" s="15">
        <v>0</v>
      </c>
      <c r="C27" s="15"/>
      <c r="D27" s="15"/>
      <c r="E27" s="15"/>
      <c r="G27">
        <v>22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/>
    </row>
    <row r="28" spans="1:39" x14ac:dyDescent="0.25">
      <c r="A28" s="15">
        <v>16</v>
      </c>
      <c r="B28" s="15">
        <v>0</v>
      </c>
      <c r="C28" s="15"/>
      <c r="D28" s="15"/>
      <c r="E28" s="15"/>
      <c r="G28">
        <v>23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1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/>
    </row>
    <row r="29" spans="1:39" x14ac:dyDescent="0.25">
      <c r="A29" s="15">
        <v>17</v>
      </c>
      <c r="B29" s="15">
        <v>0</v>
      </c>
      <c r="C29" s="15"/>
      <c r="D29" s="15"/>
      <c r="E29" s="15"/>
      <c r="G29">
        <v>24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1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/>
    </row>
    <row r="30" spans="1:39" x14ac:dyDescent="0.25">
      <c r="A30" s="15">
        <v>18</v>
      </c>
      <c r="B30" s="15">
        <v>0</v>
      </c>
      <c r="C30" s="15"/>
      <c r="D30" s="15"/>
      <c r="E30" s="15"/>
      <c r="G30">
        <v>25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/>
    </row>
    <row r="31" spans="1:39" x14ac:dyDescent="0.25">
      <c r="A31" s="15">
        <v>19</v>
      </c>
      <c r="B31" s="15" t="s">
        <v>7</v>
      </c>
      <c r="C31" s="15" t="s">
        <v>8</v>
      </c>
      <c r="D31" s="15" t="s">
        <v>9</v>
      </c>
      <c r="E31" s="15">
        <v>5</v>
      </c>
      <c r="G31">
        <v>26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1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/>
    </row>
    <row r="32" spans="1:39" x14ac:dyDescent="0.25">
      <c r="A32" s="15">
        <v>20</v>
      </c>
      <c r="B32" s="15" t="s">
        <v>7</v>
      </c>
      <c r="C32" s="15" t="s">
        <v>17</v>
      </c>
      <c r="D32" s="15" t="s">
        <v>9</v>
      </c>
      <c r="E32" s="15">
        <v>3</v>
      </c>
      <c r="G32">
        <v>27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/>
    </row>
    <row r="33" spans="1:39" x14ac:dyDescent="0.25">
      <c r="A33" s="15">
        <v>21</v>
      </c>
      <c r="B33" s="15">
        <v>0</v>
      </c>
      <c r="C33" s="15"/>
      <c r="D33" s="15"/>
      <c r="E33" s="15"/>
      <c r="G33">
        <v>28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/>
    </row>
    <row r="34" spans="1:39" x14ac:dyDescent="0.25">
      <c r="A34" s="15">
        <v>22</v>
      </c>
      <c r="B34" s="15">
        <v>0</v>
      </c>
      <c r="C34" s="15"/>
      <c r="D34" s="15"/>
      <c r="E34" s="15"/>
      <c r="G34">
        <v>29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/>
    </row>
    <row r="35" spans="1:39" x14ac:dyDescent="0.25">
      <c r="A35" s="15">
        <v>23</v>
      </c>
      <c r="B35" s="15" t="s">
        <v>7</v>
      </c>
      <c r="C35" s="15" t="s">
        <v>12</v>
      </c>
      <c r="D35" s="15" t="s">
        <v>13</v>
      </c>
      <c r="E35" s="15">
        <v>1</v>
      </c>
      <c r="G35">
        <v>30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1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/>
    </row>
    <row r="36" spans="1:39" x14ac:dyDescent="0.25">
      <c r="A36" s="15">
        <v>24</v>
      </c>
      <c r="B36" s="15" t="s">
        <v>7</v>
      </c>
      <c r="C36" s="15" t="s">
        <v>8</v>
      </c>
      <c r="D36" s="15" t="s">
        <v>16</v>
      </c>
      <c r="E36" s="15">
        <v>1</v>
      </c>
      <c r="G36">
        <v>31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1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/>
    </row>
    <row r="37" spans="1:39" x14ac:dyDescent="0.25">
      <c r="A37" s="15">
        <v>25</v>
      </c>
      <c r="B37" s="15">
        <v>0</v>
      </c>
      <c r="C37" s="15"/>
      <c r="D37" s="15"/>
      <c r="E37" s="15"/>
      <c r="G37">
        <v>32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/>
    </row>
    <row r="38" spans="1:39" x14ac:dyDescent="0.25">
      <c r="A38" s="15">
        <v>26</v>
      </c>
      <c r="B38" s="15" t="s">
        <v>7</v>
      </c>
      <c r="C38" s="15" t="s">
        <v>12</v>
      </c>
      <c r="D38" s="15" t="s">
        <v>13</v>
      </c>
      <c r="E38" s="15">
        <v>1</v>
      </c>
      <c r="G38">
        <v>33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3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/>
    </row>
    <row r="39" spans="1:39" x14ac:dyDescent="0.25">
      <c r="A39" s="15">
        <v>27</v>
      </c>
      <c r="B39" s="15">
        <v>0</v>
      </c>
      <c r="C39" s="15"/>
      <c r="D39" s="15"/>
      <c r="E39" s="15"/>
      <c r="G39">
        <v>34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/>
    </row>
    <row r="40" spans="1:39" x14ac:dyDescent="0.25">
      <c r="A40" s="15">
        <v>28</v>
      </c>
      <c r="B40" s="15">
        <v>0</v>
      </c>
      <c r="C40" s="15"/>
      <c r="D40" s="15"/>
      <c r="E40" s="15"/>
      <c r="G40">
        <v>35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3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/>
    </row>
    <row r="41" spans="1:39" x14ac:dyDescent="0.25">
      <c r="A41" s="15">
        <v>29</v>
      </c>
      <c r="B41" s="15">
        <v>0</v>
      </c>
      <c r="C41" s="15"/>
      <c r="D41" s="15"/>
      <c r="E41" s="15"/>
      <c r="G41">
        <v>36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3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/>
    </row>
    <row r="42" spans="1:39" x14ac:dyDescent="0.25">
      <c r="A42" s="15">
        <v>30</v>
      </c>
      <c r="B42" s="15" t="s">
        <v>7</v>
      </c>
      <c r="C42" s="15" t="s">
        <v>12</v>
      </c>
      <c r="D42" s="15" t="s">
        <v>13</v>
      </c>
      <c r="E42" s="15">
        <v>1</v>
      </c>
      <c r="G42">
        <v>37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3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/>
    </row>
    <row r="43" spans="1:39" x14ac:dyDescent="0.25">
      <c r="A43" s="15">
        <v>31</v>
      </c>
      <c r="B43" s="15" t="s">
        <v>7</v>
      </c>
      <c r="C43" s="15" t="s">
        <v>8</v>
      </c>
      <c r="D43" s="15" t="s">
        <v>9</v>
      </c>
      <c r="E43" s="15">
        <v>1</v>
      </c>
      <c r="G43">
        <v>38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/>
    </row>
    <row r="44" spans="1:39" x14ac:dyDescent="0.25">
      <c r="A44" s="15">
        <v>32</v>
      </c>
      <c r="B44" s="15">
        <v>0</v>
      </c>
      <c r="C44" s="15"/>
      <c r="D44" s="15"/>
      <c r="E44" s="15"/>
      <c r="G44">
        <v>39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4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/>
    </row>
    <row r="45" spans="1:39" x14ac:dyDescent="0.25">
      <c r="A45" s="15">
        <v>33</v>
      </c>
      <c r="B45" s="15" t="s">
        <v>7</v>
      </c>
      <c r="C45" s="15" t="s">
        <v>8</v>
      </c>
      <c r="D45" s="15" t="s">
        <v>18</v>
      </c>
      <c r="E45" s="15">
        <v>3</v>
      </c>
      <c r="G45">
        <v>40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8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/>
    </row>
    <row r="46" spans="1:39" x14ac:dyDescent="0.25">
      <c r="A46" s="15">
        <v>34</v>
      </c>
      <c r="B46" s="15">
        <v>0</v>
      </c>
      <c r="C46" s="15"/>
      <c r="D46" s="15"/>
      <c r="E46" s="15"/>
      <c r="G46">
        <v>41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4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/>
    </row>
    <row r="47" spans="1:39" x14ac:dyDescent="0.25">
      <c r="A47" s="15">
        <v>35</v>
      </c>
      <c r="B47" s="15" t="s">
        <v>7</v>
      </c>
      <c r="C47" s="15" t="s">
        <v>8</v>
      </c>
      <c r="D47" s="15" t="s">
        <v>18</v>
      </c>
      <c r="E47" s="15">
        <v>3</v>
      </c>
      <c r="G47">
        <v>42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6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1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/>
    </row>
    <row r="48" spans="1:39" x14ac:dyDescent="0.25">
      <c r="A48" s="15">
        <v>36</v>
      </c>
      <c r="B48" s="15" t="s">
        <v>7</v>
      </c>
      <c r="C48" s="15" t="s">
        <v>12</v>
      </c>
      <c r="D48" s="15" t="s">
        <v>13</v>
      </c>
      <c r="E48" s="15">
        <v>3</v>
      </c>
      <c r="G48">
        <v>43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2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/>
    </row>
    <row r="49" spans="1:39" x14ac:dyDescent="0.25">
      <c r="A49" s="15">
        <v>37</v>
      </c>
      <c r="B49" s="15" t="s">
        <v>7</v>
      </c>
      <c r="C49" s="15" t="s">
        <v>8</v>
      </c>
      <c r="D49" s="15" t="s">
        <v>18</v>
      </c>
      <c r="E49" s="15">
        <v>3</v>
      </c>
      <c r="G49">
        <v>44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1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/>
    </row>
    <row r="50" spans="1:39" x14ac:dyDescent="0.25">
      <c r="A50" s="15">
        <v>38</v>
      </c>
      <c r="B50" s="15">
        <v>0</v>
      </c>
      <c r="C50" s="15"/>
      <c r="D50" s="15"/>
      <c r="E50" s="15"/>
      <c r="G50">
        <v>45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/>
    </row>
    <row r="51" spans="1:39" x14ac:dyDescent="0.25">
      <c r="A51" s="15">
        <v>39</v>
      </c>
      <c r="B51" s="15" t="s">
        <v>7</v>
      </c>
      <c r="C51" s="15" t="s">
        <v>8</v>
      </c>
      <c r="D51" s="15" t="s">
        <v>18</v>
      </c>
      <c r="E51" s="15">
        <v>4</v>
      </c>
      <c r="G51">
        <v>46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1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/>
    </row>
    <row r="52" spans="1:39" x14ac:dyDescent="0.25">
      <c r="A52" s="15">
        <v>40</v>
      </c>
      <c r="B52" s="15" t="s">
        <v>7</v>
      </c>
      <c r="C52" s="15" t="s">
        <v>8</v>
      </c>
      <c r="D52" s="15" t="s">
        <v>18</v>
      </c>
      <c r="E52" s="15">
        <v>8</v>
      </c>
      <c r="G52">
        <v>47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1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/>
    </row>
    <row r="53" spans="1:39" x14ac:dyDescent="0.25">
      <c r="A53" s="15">
        <v>41</v>
      </c>
      <c r="B53" s="15" t="s">
        <v>7</v>
      </c>
      <c r="C53" s="15" t="s">
        <v>8</v>
      </c>
      <c r="D53" s="15" t="s">
        <v>18</v>
      </c>
      <c r="E53" s="15">
        <v>4</v>
      </c>
      <c r="G53">
        <v>48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1</v>
      </c>
      <c r="O53">
        <v>0</v>
      </c>
      <c r="P53">
        <v>0</v>
      </c>
      <c r="Q53">
        <v>0</v>
      </c>
      <c r="R53">
        <v>0</v>
      </c>
      <c r="S53">
        <v>0</v>
      </c>
      <c r="T53">
        <v>1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/>
    </row>
    <row r="54" spans="1:39" x14ac:dyDescent="0.25">
      <c r="A54" s="15">
        <v>42</v>
      </c>
      <c r="B54" s="15" t="s">
        <v>7</v>
      </c>
      <c r="C54" s="15" t="s">
        <v>12</v>
      </c>
      <c r="D54" s="15" t="s">
        <v>13</v>
      </c>
      <c r="E54" s="15">
        <v>1</v>
      </c>
      <c r="G54">
        <v>49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4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/>
    </row>
    <row r="55" spans="1:39" x14ac:dyDescent="0.25">
      <c r="A55" s="15"/>
      <c r="B55" s="15" t="s">
        <v>7</v>
      </c>
      <c r="C55" s="17" t="s">
        <v>8</v>
      </c>
      <c r="D55" s="17" t="s">
        <v>9</v>
      </c>
      <c r="E55" s="15">
        <v>6</v>
      </c>
      <c r="G55">
        <v>50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3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2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/>
    </row>
    <row r="56" spans="1:39" x14ac:dyDescent="0.25">
      <c r="A56" s="15">
        <v>43</v>
      </c>
      <c r="B56" s="15" t="s">
        <v>7</v>
      </c>
      <c r="C56" s="17" t="s">
        <v>12</v>
      </c>
      <c r="D56" s="17" t="s">
        <v>13</v>
      </c>
      <c r="E56" s="15">
        <v>1</v>
      </c>
      <c r="G56">
        <v>51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/>
    </row>
    <row r="57" spans="1:39" x14ac:dyDescent="0.25">
      <c r="A57" s="15"/>
      <c r="B57" s="15" t="s">
        <v>7</v>
      </c>
      <c r="C57" s="15" t="s">
        <v>12</v>
      </c>
      <c r="D57" s="15" t="s">
        <v>13</v>
      </c>
      <c r="E57" s="15">
        <v>1</v>
      </c>
      <c r="G57">
        <v>52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/>
    </row>
    <row r="58" spans="1:39" x14ac:dyDescent="0.25">
      <c r="A58" s="15">
        <v>44</v>
      </c>
      <c r="B58" s="15" t="s">
        <v>7</v>
      </c>
      <c r="C58" s="15" t="s">
        <v>8</v>
      </c>
      <c r="D58" s="15" t="s">
        <v>9</v>
      </c>
      <c r="E58" s="15">
        <v>1</v>
      </c>
      <c r="G58">
        <v>53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/>
    </row>
    <row r="59" spans="1:39" x14ac:dyDescent="0.25">
      <c r="A59" s="15">
        <v>45</v>
      </c>
      <c r="B59" s="15">
        <v>0</v>
      </c>
      <c r="C59" s="15"/>
      <c r="D59" s="15"/>
      <c r="E59" s="15"/>
      <c r="G59">
        <v>54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1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/>
    </row>
    <row r="60" spans="1:39" x14ac:dyDescent="0.25">
      <c r="A60" s="15">
        <v>46</v>
      </c>
      <c r="B60" s="15" t="s">
        <v>7</v>
      </c>
      <c r="C60" s="15" t="s">
        <v>8</v>
      </c>
      <c r="D60" s="15" t="s">
        <v>9</v>
      </c>
      <c r="E60" s="15">
        <v>1</v>
      </c>
      <c r="G60">
        <v>55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2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/>
    </row>
    <row r="61" spans="1:39" x14ac:dyDescent="0.25">
      <c r="A61" s="15">
        <v>47</v>
      </c>
      <c r="B61" s="15" t="s">
        <v>7</v>
      </c>
      <c r="C61" s="15" t="s">
        <v>8</v>
      </c>
      <c r="D61" s="15" t="s">
        <v>16</v>
      </c>
      <c r="E61" s="15">
        <v>1</v>
      </c>
      <c r="G61">
        <v>56</v>
      </c>
      <c r="H61">
        <v>1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/>
    </row>
    <row r="62" spans="1:39" x14ac:dyDescent="0.25">
      <c r="A62" s="15">
        <v>48</v>
      </c>
      <c r="B62" s="15" t="s">
        <v>19</v>
      </c>
      <c r="C62" s="15" t="s">
        <v>20</v>
      </c>
      <c r="D62" s="15" t="s">
        <v>9</v>
      </c>
      <c r="E62" s="15">
        <v>1</v>
      </c>
      <c r="G62">
        <v>57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/>
    </row>
    <row r="63" spans="1:39" x14ac:dyDescent="0.25">
      <c r="A63" s="15"/>
      <c r="B63" s="15" t="s">
        <v>7</v>
      </c>
      <c r="C63" s="15" t="s">
        <v>8</v>
      </c>
      <c r="D63" s="15" t="s">
        <v>9</v>
      </c>
      <c r="E63" s="15">
        <v>1</v>
      </c>
      <c r="G63">
        <v>58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/>
    </row>
    <row r="64" spans="1:39" x14ac:dyDescent="0.25">
      <c r="A64" s="15">
        <v>49</v>
      </c>
      <c r="B64" s="15" t="s">
        <v>19</v>
      </c>
      <c r="C64" s="15" t="s">
        <v>20</v>
      </c>
      <c r="D64" s="15" t="s">
        <v>9</v>
      </c>
      <c r="E64" s="15">
        <v>4</v>
      </c>
      <c r="G64">
        <v>59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/>
    </row>
    <row r="65" spans="1:39" x14ac:dyDescent="0.25">
      <c r="A65" s="15">
        <v>50</v>
      </c>
      <c r="B65" s="15" t="s">
        <v>7</v>
      </c>
      <c r="C65" s="15" t="s">
        <v>8</v>
      </c>
      <c r="D65" s="15" t="s">
        <v>9</v>
      </c>
      <c r="E65" s="15">
        <v>3</v>
      </c>
      <c r="G65">
        <v>60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/>
    </row>
    <row r="66" spans="1:39" x14ac:dyDescent="0.25">
      <c r="A66" s="15"/>
      <c r="B66" s="15" t="s">
        <v>7</v>
      </c>
      <c r="C66" s="15" t="s">
        <v>12</v>
      </c>
      <c r="D66" s="15" t="s">
        <v>13</v>
      </c>
      <c r="E66" s="15">
        <v>2</v>
      </c>
      <c r="G66">
        <v>61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</row>
    <row r="67" spans="1:39" x14ac:dyDescent="0.25">
      <c r="A67" s="15">
        <v>51</v>
      </c>
      <c r="B67" s="15">
        <v>0</v>
      </c>
      <c r="C67" s="15"/>
      <c r="D67" s="15"/>
      <c r="E67" s="15"/>
      <c r="G67">
        <v>62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1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</row>
    <row r="68" spans="1:39" x14ac:dyDescent="0.25">
      <c r="A68" s="15">
        <v>52</v>
      </c>
      <c r="B68" s="15">
        <v>0</v>
      </c>
      <c r="C68" s="15"/>
      <c r="D68" s="15"/>
      <c r="E68" s="15"/>
      <c r="H68">
        <f>SUM(H6:H67)</f>
        <v>1</v>
      </c>
      <c r="I68">
        <f t="shared" ref="I68:AL68" si="0">SUM(I6:I67)</f>
        <v>0</v>
      </c>
      <c r="J68">
        <f t="shared" si="0"/>
        <v>0</v>
      </c>
      <c r="K68">
        <f t="shared" si="0"/>
        <v>0</v>
      </c>
      <c r="L68">
        <f t="shared" si="0"/>
        <v>0</v>
      </c>
      <c r="M68">
        <f t="shared" si="0"/>
        <v>0</v>
      </c>
      <c r="N68">
        <f t="shared" si="0"/>
        <v>12</v>
      </c>
      <c r="O68">
        <f t="shared" si="0"/>
        <v>0</v>
      </c>
      <c r="P68">
        <f t="shared" si="0"/>
        <v>2</v>
      </c>
      <c r="Q68">
        <f t="shared" si="0"/>
        <v>0</v>
      </c>
      <c r="R68">
        <f t="shared" si="0"/>
        <v>32</v>
      </c>
      <c r="S68">
        <f t="shared" si="0"/>
        <v>2</v>
      </c>
      <c r="T68">
        <f t="shared" si="0"/>
        <v>36</v>
      </c>
      <c r="U68">
        <f t="shared" si="0"/>
        <v>4</v>
      </c>
      <c r="V68">
        <f t="shared" si="0"/>
        <v>0</v>
      </c>
      <c r="W68">
        <f t="shared" si="0"/>
        <v>0</v>
      </c>
      <c r="X68">
        <f t="shared" si="0"/>
        <v>4</v>
      </c>
      <c r="Y68">
        <f t="shared" si="0"/>
        <v>1</v>
      </c>
      <c r="Z68">
        <f t="shared" si="0"/>
        <v>0</v>
      </c>
      <c r="AA68">
        <f t="shared" si="0"/>
        <v>0</v>
      </c>
      <c r="AB68">
        <f t="shared" si="0"/>
        <v>0</v>
      </c>
      <c r="AC68">
        <f t="shared" si="0"/>
        <v>16</v>
      </c>
      <c r="AD68">
        <f t="shared" si="0"/>
        <v>0</v>
      </c>
      <c r="AE68">
        <f t="shared" si="0"/>
        <v>0</v>
      </c>
      <c r="AF68">
        <f t="shared" si="0"/>
        <v>0</v>
      </c>
      <c r="AG68">
        <f t="shared" si="0"/>
        <v>0</v>
      </c>
      <c r="AH68">
        <f t="shared" si="0"/>
        <v>0</v>
      </c>
      <c r="AI68">
        <f t="shared" si="0"/>
        <v>0</v>
      </c>
      <c r="AJ68">
        <f t="shared" si="0"/>
        <v>0</v>
      </c>
      <c r="AK68">
        <f t="shared" si="0"/>
        <v>3</v>
      </c>
      <c r="AL68">
        <f t="shared" si="0"/>
        <v>10</v>
      </c>
      <c r="AM68">
        <f>SUM(H68:AL68)</f>
        <v>123</v>
      </c>
    </row>
    <row r="69" spans="1:39" x14ac:dyDescent="0.25">
      <c r="A69" s="15">
        <v>53</v>
      </c>
      <c r="B69" s="15">
        <v>0</v>
      </c>
      <c r="C69" s="15"/>
      <c r="D69" s="15"/>
      <c r="E69" s="15"/>
    </row>
    <row r="70" spans="1:39" x14ac:dyDescent="0.25">
      <c r="A70" s="15">
        <v>54</v>
      </c>
      <c r="B70" s="15" t="s">
        <v>7</v>
      </c>
      <c r="C70" s="15" t="s">
        <v>8</v>
      </c>
      <c r="D70" s="15" t="s">
        <v>9</v>
      </c>
      <c r="E70" s="15">
        <v>1</v>
      </c>
    </row>
    <row r="71" spans="1:39" x14ac:dyDescent="0.25">
      <c r="A71" s="15">
        <v>55</v>
      </c>
      <c r="B71" s="15" t="s">
        <v>7</v>
      </c>
      <c r="C71" s="15" t="s">
        <v>8</v>
      </c>
      <c r="D71" s="15" t="s">
        <v>16</v>
      </c>
      <c r="E71" s="15">
        <v>2</v>
      </c>
    </row>
    <row r="72" spans="1:39" x14ac:dyDescent="0.25">
      <c r="A72" s="15">
        <v>56</v>
      </c>
      <c r="B72" s="15" t="s">
        <v>22</v>
      </c>
      <c r="C72" s="15" t="s">
        <v>21</v>
      </c>
      <c r="D72" s="15" t="s">
        <v>9</v>
      </c>
      <c r="E72" s="15">
        <v>1</v>
      </c>
    </row>
    <row r="73" spans="1:39" x14ac:dyDescent="0.25">
      <c r="A73" s="15">
        <v>57</v>
      </c>
      <c r="B73" s="15">
        <v>0</v>
      </c>
      <c r="C73" s="15"/>
      <c r="D73" s="15"/>
      <c r="E73" s="15"/>
    </row>
    <row r="74" spans="1:39" x14ac:dyDescent="0.25">
      <c r="A74" s="15">
        <v>58</v>
      </c>
      <c r="B74" s="15">
        <v>0</v>
      </c>
      <c r="C74" s="15"/>
      <c r="D74" s="15"/>
      <c r="E74" s="15"/>
    </row>
    <row r="75" spans="1:39" x14ac:dyDescent="0.25">
      <c r="A75" s="15">
        <v>59</v>
      </c>
      <c r="B75" s="15">
        <v>0</v>
      </c>
      <c r="C75" s="15"/>
      <c r="D75" s="15"/>
      <c r="E75" s="15"/>
    </row>
    <row r="76" spans="1:39" x14ac:dyDescent="0.25">
      <c r="A76" s="15">
        <v>60</v>
      </c>
      <c r="B76" s="15" t="s">
        <v>7</v>
      </c>
      <c r="C76" s="15" t="s">
        <v>8</v>
      </c>
      <c r="D76" s="15" t="s">
        <v>9</v>
      </c>
      <c r="E76" s="15">
        <v>1</v>
      </c>
    </row>
    <row r="77" spans="1:39" x14ac:dyDescent="0.25">
      <c r="A77" s="15">
        <v>61</v>
      </c>
      <c r="B77" s="15">
        <v>0</v>
      </c>
      <c r="C77" s="15"/>
      <c r="D77" s="15"/>
      <c r="E77" s="15"/>
    </row>
    <row r="78" spans="1:39" x14ac:dyDescent="0.25">
      <c r="A78" s="15">
        <v>62</v>
      </c>
      <c r="B78" s="15" t="s">
        <v>7</v>
      </c>
      <c r="C78" s="15" t="s">
        <v>8</v>
      </c>
      <c r="D78" s="15" t="s">
        <v>9</v>
      </c>
      <c r="E78" s="15">
        <v>1</v>
      </c>
    </row>
    <row r="79" spans="1:39" x14ac:dyDescent="0.25">
      <c r="E79" s="2">
        <f>SUM(E6:E78)</f>
        <v>123</v>
      </c>
    </row>
    <row r="81" spans="7:19" x14ac:dyDescent="0.25">
      <c r="H81" s="11" t="s">
        <v>6</v>
      </c>
      <c r="I81" s="11" t="s">
        <v>88</v>
      </c>
      <c r="J81" s="11" t="s">
        <v>3</v>
      </c>
      <c r="K81" s="11" t="s">
        <v>65</v>
      </c>
      <c r="L81" s="11" t="s">
        <v>66</v>
      </c>
      <c r="O81" t="s">
        <v>6</v>
      </c>
      <c r="P81" t="s">
        <v>139</v>
      </c>
      <c r="R81" t="s">
        <v>6</v>
      </c>
      <c r="S81" s="2" t="s">
        <v>138</v>
      </c>
    </row>
    <row r="82" spans="7:19" x14ac:dyDescent="0.25">
      <c r="G82" s="2">
        <v>1</v>
      </c>
      <c r="H82" s="14" t="s">
        <v>22</v>
      </c>
      <c r="I82" s="14" t="s">
        <v>89</v>
      </c>
      <c r="J82" s="14" t="s">
        <v>21</v>
      </c>
      <c r="K82" s="14" t="s">
        <v>9</v>
      </c>
      <c r="L82" s="6">
        <f>SUM(E72)</f>
        <v>1</v>
      </c>
      <c r="O82" t="s">
        <v>22</v>
      </c>
      <c r="P82">
        <v>2</v>
      </c>
      <c r="R82" t="s">
        <v>22</v>
      </c>
      <c r="S82" s="2">
        <v>4</v>
      </c>
    </row>
    <row r="83" spans="7:19" x14ac:dyDescent="0.25">
      <c r="G83" s="2">
        <v>2</v>
      </c>
      <c r="H83" s="6"/>
      <c r="I83" s="6" t="s">
        <v>93</v>
      </c>
      <c r="J83" s="6" t="s">
        <v>11</v>
      </c>
      <c r="K83" s="6" t="s">
        <v>60</v>
      </c>
      <c r="L83" s="6">
        <f>SUM(E13)</f>
        <v>3</v>
      </c>
      <c r="O83" t="s">
        <v>19</v>
      </c>
      <c r="P83">
        <v>2</v>
      </c>
      <c r="R83" t="s">
        <v>19</v>
      </c>
      <c r="S83" s="2">
        <v>22</v>
      </c>
    </row>
    <row r="84" spans="7:19" x14ac:dyDescent="0.25">
      <c r="G84" s="2">
        <v>3</v>
      </c>
      <c r="H84" s="14" t="s">
        <v>7</v>
      </c>
      <c r="I84" s="14" t="s">
        <v>91</v>
      </c>
      <c r="J84" s="1" t="s">
        <v>8</v>
      </c>
      <c r="K84" s="1" t="s">
        <v>37</v>
      </c>
      <c r="L84" s="6">
        <f>SUM(E12)</f>
        <v>2</v>
      </c>
      <c r="O84" t="s">
        <v>7</v>
      </c>
      <c r="P84">
        <v>7</v>
      </c>
      <c r="R84" t="s">
        <v>7</v>
      </c>
      <c r="S84" s="2">
        <f>SUM(L84:L90)</f>
        <v>95</v>
      </c>
    </row>
    <row r="85" spans="7:19" x14ac:dyDescent="0.25">
      <c r="G85" s="2">
        <v>4</v>
      </c>
      <c r="H85" s="6"/>
      <c r="I85" s="14" t="s">
        <v>91</v>
      </c>
      <c r="J85" s="1" t="s">
        <v>8</v>
      </c>
      <c r="K85" s="1" t="s">
        <v>18</v>
      </c>
      <c r="L85" s="6">
        <f>SUM(E10,E14,E21,E45,E47,E49,E51,E52,E53)</f>
        <v>32</v>
      </c>
      <c r="O85" t="s">
        <v>28</v>
      </c>
      <c r="P85">
        <v>1</v>
      </c>
      <c r="R85" t="s">
        <v>28</v>
      </c>
      <c r="S85" s="2">
        <f>SUM(L91)</f>
        <v>2</v>
      </c>
    </row>
    <row r="86" spans="7:19" x14ac:dyDescent="0.25">
      <c r="G86" s="2">
        <v>5</v>
      </c>
      <c r="H86" s="6"/>
      <c r="I86" s="14" t="s">
        <v>91</v>
      </c>
      <c r="J86" s="1" t="s">
        <v>8</v>
      </c>
      <c r="K86" s="14" t="s">
        <v>9</v>
      </c>
      <c r="L86" s="6">
        <f>SUM(E6,E17,E19,E24,E26,E31,E43,E55,E58,E60,E63,E65,E70,E76,E78)</f>
        <v>36</v>
      </c>
      <c r="S86" s="2">
        <f>SUM(S82:S85)</f>
        <v>123</v>
      </c>
    </row>
    <row r="87" spans="7:19" x14ac:dyDescent="0.25">
      <c r="G87" s="2">
        <v>6</v>
      </c>
      <c r="H87" s="6"/>
      <c r="I87" s="14" t="s">
        <v>91</v>
      </c>
      <c r="J87" s="1" t="s">
        <v>8</v>
      </c>
      <c r="K87" s="14" t="s">
        <v>16</v>
      </c>
      <c r="L87" s="6">
        <f>SUM(E36,E61,E71)</f>
        <v>4</v>
      </c>
    </row>
    <row r="88" spans="7:19" x14ac:dyDescent="0.25">
      <c r="G88" s="2">
        <v>7</v>
      </c>
      <c r="H88" s="6"/>
      <c r="I88" s="14" t="s">
        <v>91</v>
      </c>
      <c r="J88" s="1" t="s">
        <v>14</v>
      </c>
      <c r="K88" s="1" t="s">
        <v>9</v>
      </c>
      <c r="L88" s="6">
        <f>SUM(E18,E32)</f>
        <v>4</v>
      </c>
    </row>
    <row r="89" spans="7:19" x14ac:dyDescent="0.25">
      <c r="G89" s="2">
        <v>8</v>
      </c>
      <c r="H89" s="1"/>
      <c r="I89" s="14" t="s">
        <v>91</v>
      </c>
      <c r="J89" s="1" t="s">
        <v>14</v>
      </c>
      <c r="K89" s="1" t="s">
        <v>16</v>
      </c>
      <c r="L89" s="6">
        <f>SUM(E23)</f>
        <v>1</v>
      </c>
    </row>
    <row r="90" spans="7:19" x14ac:dyDescent="0.25">
      <c r="G90" s="2">
        <v>9</v>
      </c>
      <c r="H90" s="6"/>
      <c r="I90" s="14" t="s">
        <v>91</v>
      </c>
      <c r="J90" s="6" t="s">
        <v>12</v>
      </c>
      <c r="K90" s="1" t="s">
        <v>13</v>
      </c>
      <c r="L90" s="6">
        <f>SUM(E15,E22,E25,E35,E38,E42,E48,E54,E56,E66,E57)</f>
        <v>16</v>
      </c>
    </row>
    <row r="91" spans="7:19" x14ac:dyDescent="0.25">
      <c r="G91" s="2">
        <v>10</v>
      </c>
      <c r="H91" s="6" t="s">
        <v>28</v>
      </c>
      <c r="I91" s="14" t="s">
        <v>91</v>
      </c>
      <c r="J91" s="1" t="s">
        <v>8</v>
      </c>
      <c r="K91" s="1" t="s">
        <v>30</v>
      </c>
      <c r="L91" s="1">
        <f>SUM(E20)</f>
        <v>2</v>
      </c>
    </row>
    <row r="92" spans="7:19" x14ac:dyDescent="0.25">
      <c r="G92" s="2">
        <v>11</v>
      </c>
      <c r="H92" s="6" t="s">
        <v>19</v>
      </c>
      <c r="I92" s="6" t="s">
        <v>91</v>
      </c>
      <c r="J92" s="1" t="s">
        <v>20</v>
      </c>
      <c r="K92" s="14" t="s">
        <v>9</v>
      </c>
      <c r="L92" s="6">
        <f>SUM(E16,E64,E62)</f>
        <v>12</v>
      </c>
    </row>
    <row r="93" spans="7:19" x14ac:dyDescent="0.25">
      <c r="G93" s="2">
        <v>12</v>
      </c>
      <c r="H93" s="6"/>
      <c r="I93" s="6" t="s">
        <v>93</v>
      </c>
      <c r="J93" s="1" t="s">
        <v>11</v>
      </c>
      <c r="K93" s="1" t="s">
        <v>67</v>
      </c>
      <c r="L93" s="6">
        <f>SUM(E11)</f>
        <v>10</v>
      </c>
    </row>
    <row r="94" spans="7:19" x14ac:dyDescent="0.25">
      <c r="H94" s="1"/>
      <c r="I94" s="1"/>
      <c r="J94" s="1"/>
      <c r="K94" s="1"/>
      <c r="L94" s="1">
        <f>SUM(L82:L93)</f>
        <v>123</v>
      </c>
    </row>
    <row r="96" spans="7:19" x14ac:dyDescent="0.25">
      <c r="G96" s="65" t="s">
        <v>98</v>
      </c>
      <c r="H96" s="22" t="s">
        <v>6</v>
      </c>
      <c r="I96" s="22" t="s">
        <v>88</v>
      </c>
      <c r="J96" s="22" t="s">
        <v>3</v>
      </c>
      <c r="K96" s="22" t="s">
        <v>65</v>
      </c>
      <c r="L96" s="25" t="s">
        <v>99</v>
      </c>
      <c r="M96" s="25" t="s">
        <v>79</v>
      </c>
      <c r="N96" s="25" t="s">
        <v>81</v>
      </c>
      <c r="O96" s="25" t="s">
        <v>80</v>
      </c>
      <c r="P96" s="65" t="s">
        <v>100</v>
      </c>
    </row>
    <row r="97" spans="7:16" x14ac:dyDescent="0.25">
      <c r="G97" s="18">
        <v>1</v>
      </c>
      <c r="H97" s="21" t="s">
        <v>22</v>
      </c>
      <c r="I97" s="21" t="s">
        <v>89</v>
      </c>
      <c r="J97" s="21" t="s">
        <v>21</v>
      </c>
      <c r="K97" s="21" t="s">
        <v>9</v>
      </c>
      <c r="L97" s="8">
        <v>1</v>
      </c>
      <c r="M97" s="34">
        <f>L97/123</f>
        <v>8.130081300813009E-3</v>
      </c>
      <c r="N97" s="8">
        <f>LN(M97)</f>
        <v>-4.8121843553724171</v>
      </c>
      <c r="O97" s="8">
        <f>M97*N97</f>
        <v>-3.912345004367819E-2</v>
      </c>
      <c r="P97" s="35">
        <f>M97^2</f>
        <v>6.6098221957829344E-5</v>
      </c>
    </row>
    <row r="98" spans="7:16" x14ac:dyDescent="0.25">
      <c r="G98" s="18">
        <v>2</v>
      </c>
      <c r="H98" s="21" t="s">
        <v>19</v>
      </c>
      <c r="I98" s="21" t="s">
        <v>91</v>
      </c>
      <c r="J98" s="8" t="s">
        <v>20</v>
      </c>
      <c r="K98" s="21" t="s">
        <v>9</v>
      </c>
      <c r="L98" s="8">
        <v>12</v>
      </c>
      <c r="M98" s="34">
        <f t="shared" ref="M98:M108" si="1">L98/123</f>
        <v>9.7560975609756101E-2</v>
      </c>
      <c r="N98" s="8">
        <f t="shared" ref="N98:N108" si="2">LN(M98)</f>
        <v>-2.3272777055844172</v>
      </c>
      <c r="O98" s="8">
        <f t="shared" ref="O98:O108" si="3">M98*N98</f>
        <v>-0.22705148347165047</v>
      </c>
      <c r="P98" s="35">
        <f t="shared" ref="P98:P108" si="4">M98^2</f>
        <v>9.5181439619274246E-3</v>
      </c>
    </row>
    <row r="99" spans="7:16" x14ac:dyDescent="0.25">
      <c r="G99" s="18">
        <v>3</v>
      </c>
      <c r="H99" s="21" t="s">
        <v>7</v>
      </c>
      <c r="I99" s="21" t="s">
        <v>91</v>
      </c>
      <c r="J99" s="8" t="s">
        <v>8</v>
      </c>
      <c r="K99" s="8" t="s">
        <v>37</v>
      </c>
      <c r="L99" s="8">
        <v>2</v>
      </c>
      <c r="M99" s="34">
        <f t="shared" si="1"/>
        <v>1.6260162601626018E-2</v>
      </c>
      <c r="N99" s="8">
        <f t="shared" si="2"/>
        <v>-4.1190371748124717</v>
      </c>
      <c r="O99" s="8">
        <f t="shared" si="3"/>
        <v>-6.6976214224593045E-2</v>
      </c>
      <c r="P99" s="35">
        <f t="shared" si="4"/>
        <v>2.6439288783131737E-4</v>
      </c>
    </row>
    <row r="100" spans="7:16" x14ac:dyDescent="0.25">
      <c r="G100" s="18">
        <v>4</v>
      </c>
      <c r="H100" s="21" t="s">
        <v>7</v>
      </c>
      <c r="I100" s="21" t="s">
        <v>91</v>
      </c>
      <c r="J100" s="8" t="s">
        <v>8</v>
      </c>
      <c r="K100" s="8" t="s">
        <v>18</v>
      </c>
      <c r="L100" s="8">
        <v>32</v>
      </c>
      <c r="M100" s="34">
        <f t="shared" si="1"/>
        <v>0.26016260162601629</v>
      </c>
      <c r="N100" s="8">
        <f t="shared" si="2"/>
        <v>-1.3464484525726907</v>
      </c>
      <c r="O100" s="8">
        <f t="shared" si="3"/>
        <v>-0.35029553237663502</v>
      </c>
      <c r="P100" s="35">
        <f t="shared" si="4"/>
        <v>6.7684579284817248E-2</v>
      </c>
    </row>
    <row r="101" spans="7:16" x14ac:dyDescent="0.25">
      <c r="G101" s="18">
        <v>5</v>
      </c>
      <c r="H101" s="7" t="s">
        <v>28</v>
      </c>
      <c r="I101" s="21" t="s">
        <v>91</v>
      </c>
      <c r="J101" s="8" t="s">
        <v>8</v>
      </c>
      <c r="K101" s="8" t="s">
        <v>30</v>
      </c>
      <c r="L101" s="8">
        <v>2</v>
      </c>
      <c r="M101" s="34">
        <f t="shared" si="1"/>
        <v>1.6260162601626018E-2</v>
      </c>
      <c r="N101" s="8">
        <f t="shared" si="2"/>
        <v>-4.1190371748124717</v>
      </c>
      <c r="O101" s="8">
        <f t="shared" si="3"/>
        <v>-6.6976214224593045E-2</v>
      </c>
      <c r="P101" s="35">
        <f t="shared" si="4"/>
        <v>2.6439288783131737E-4</v>
      </c>
    </row>
    <row r="102" spans="7:16" x14ac:dyDescent="0.25">
      <c r="G102" s="18">
        <v>6</v>
      </c>
      <c r="H102" s="7" t="s">
        <v>7</v>
      </c>
      <c r="I102" s="21" t="s">
        <v>91</v>
      </c>
      <c r="J102" s="8" t="s">
        <v>8</v>
      </c>
      <c r="K102" s="21" t="s">
        <v>9</v>
      </c>
      <c r="L102" s="8">
        <v>36</v>
      </c>
      <c r="M102" s="34">
        <f t="shared" si="1"/>
        <v>0.29268292682926828</v>
      </c>
      <c r="N102" s="8">
        <f t="shared" si="2"/>
        <v>-1.2286654169163076</v>
      </c>
      <c r="O102" s="8">
        <f t="shared" si="3"/>
        <v>-0.35960939031696804</v>
      </c>
      <c r="P102" s="35">
        <f t="shared" si="4"/>
        <v>8.5663295657346802E-2</v>
      </c>
    </row>
    <row r="103" spans="7:16" x14ac:dyDescent="0.25">
      <c r="G103" s="18">
        <v>7</v>
      </c>
      <c r="H103" s="7" t="s">
        <v>7</v>
      </c>
      <c r="I103" s="21" t="s">
        <v>91</v>
      </c>
      <c r="J103" s="8" t="s">
        <v>8</v>
      </c>
      <c r="K103" s="21" t="s">
        <v>16</v>
      </c>
      <c r="L103" s="8">
        <v>4</v>
      </c>
      <c r="M103" s="34">
        <f t="shared" si="1"/>
        <v>3.2520325203252036E-2</v>
      </c>
      <c r="N103" s="8">
        <f t="shared" si="2"/>
        <v>-3.4258899942525267</v>
      </c>
      <c r="O103" s="8">
        <f t="shared" si="3"/>
        <v>-0.11141105672365942</v>
      </c>
      <c r="P103" s="35">
        <f t="shared" si="4"/>
        <v>1.0575715513252695E-3</v>
      </c>
    </row>
    <row r="104" spans="7:16" x14ac:dyDescent="0.25">
      <c r="G104" s="18">
        <v>8</v>
      </c>
      <c r="H104" s="7" t="s">
        <v>7</v>
      </c>
      <c r="I104" s="21" t="s">
        <v>91</v>
      </c>
      <c r="J104" s="8" t="s">
        <v>14</v>
      </c>
      <c r="K104" s="8" t="s">
        <v>9</v>
      </c>
      <c r="L104" s="8">
        <v>4</v>
      </c>
      <c r="M104" s="34">
        <f t="shared" si="1"/>
        <v>3.2520325203252036E-2</v>
      </c>
      <c r="N104" s="8">
        <f t="shared" si="2"/>
        <v>-3.4258899942525267</v>
      </c>
      <c r="O104" s="8">
        <f t="shared" si="3"/>
        <v>-0.11141105672365942</v>
      </c>
      <c r="P104" s="35">
        <f t="shared" si="4"/>
        <v>1.0575715513252695E-3</v>
      </c>
    </row>
    <row r="105" spans="7:16" x14ac:dyDescent="0.25">
      <c r="G105" s="18">
        <v>9</v>
      </c>
      <c r="H105" s="7" t="s">
        <v>7</v>
      </c>
      <c r="I105" s="21" t="s">
        <v>91</v>
      </c>
      <c r="J105" s="8" t="s">
        <v>14</v>
      </c>
      <c r="K105" s="8" t="s">
        <v>16</v>
      </c>
      <c r="L105" s="8">
        <v>1</v>
      </c>
      <c r="M105" s="34">
        <f t="shared" si="1"/>
        <v>8.130081300813009E-3</v>
      </c>
      <c r="N105" s="8">
        <f t="shared" si="2"/>
        <v>-4.8121843553724171</v>
      </c>
      <c r="O105" s="8">
        <f t="shared" si="3"/>
        <v>-3.912345004367819E-2</v>
      </c>
      <c r="P105" s="35">
        <f t="shared" si="4"/>
        <v>6.6098221957829344E-5</v>
      </c>
    </row>
    <row r="106" spans="7:16" x14ac:dyDescent="0.25">
      <c r="G106" s="18">
        <v>10</v>
      </c>
      <c r="H106" s="7" t="s">
        <v>7</v>
      </c>
      <c r="I106" s="21" t="s">
        <v>91</v>
      </c>
      <c r="J106" s="7" t="s">
        <v>12</v>
      </c>
      <c r="K106" s="8" t="s">
        <v>13</v>
      </c>
      <c r="L106" s="8">
        <v>16</v>
      </c>
      <c r="M106" s="34">
        <f t="shared" si="1"/>
        <v>0.13008130081300814</v>
      </c>
      <c r="N106" s="8">
        <f t="shared" si="2"/>
        <v>-2.0395956331326364</v>
      </c>
      <c r="O106" s="8">
        <f t="shared" si="3"/>
        <v>-0.26531325309042425</v>
      </c>
      <c r="P106" s="35">
        <f t="shared" si="4"/>
        <v>1.6921144821204312E-2</v>
      </c>
    </row>
    <row r="107" spans="7:16" x14ac:dyDescent="0.25">
      <c r="G107" s="18">
        <v>11</v>
      </c>
      <c r="H107" s="8" t="s">
        <v>22</v>
      </c>
      <c r="I107" s="21" t="s">
        <v>93</v>
      </c>
      <c r="J107" s="7" t="s">
        <v>11</v>
      </c>
      <c r="K107" s="7" t="s">
        <v>60</v>
      </c>
      <c r="L107" s="8">
        <v>3</v>
      </c>
      <c r="M107" s="34">
        <f t="shared" si="1"/>
        <v>2.4390243902439025E-2</v>
      </c>
      <c r="N107" s="8">
        <f t="shared" si="2"/>
        <v>-3.713572066704308</v>
      </c>
      <c r="O107" s="8">
        <f t="shared" si="3"/>
        <v>-9.057492845620263E-2</v>
      </c>
      <c r="P107" s="35">
        <f t="shared" si="4"/>
        <v>5.9488399762046404E-4</v>
      </c>
    </row>
    <row r="108" spans="7:16" x14ac:dyDescent="0.25">
      <c r="G108" s="18">
        <v>12</v>
      </c>
      <c r="H108" s="8" t="s">
        <v>19</v>
      </c>
      <c r="I108" s="21" t="s">
        <v>93</v>
      </c>
      <c r="J108" s="8" t="s">
        <v>11</v>
      </c>
      <c r="K108" s="8" t="s">
        <v>67</v>
      </c>
      <c r="L108" s="8">
        <v>10</v>
      </c>
      <c r="M108" s="34">
        <f t="shared" si="1"/>
        <v>8.1300813008130079E-2</v>
      </c>
      <c r="N108" s="8">
        <f t="shared" si="2"/>
        <v>-2.5095992623783721</v>
      </c>
      <c r="O108" s="8">
        <f t="shared" si="3"/>
        <v>-0.2040324603559652</v>
      </c>
      <c r="P108" s="35">
        <f t="shared" si="4"/>
        <v>6.6098221957829328E-3</v>
      </c>
    </row>
    <row r="109" spans="7:16" x14ac:dyDescent="0.25">
      <c r="G109" s="165" t="s">
        <v>82</v>
      </c>
      <c r="H109" s="165"/>
      <c r="I109" s="165"/>
      <c r="J109" s="165"/>
      <c r="K109" s="165"/>
      <c r="L109" s="47">
        <f>SUM(L97:L108)</f>
        <v>123</v>
      </c>
      <c r="M109" s="47"/>
      <c r="N109" s="47"/>
      <c r="O109" s="47">
        <f>SUM(O97:O108)</f>
        <v>-1.9318984900517071</v>
      </c>
      <c r="P109" s="48">
        <f>SUM(P97:P108)</f>
        <v>0.18976799524092802</v>
      </c>
    </row>
    <row r="110" spans="7:16" x14ac:dyDescent="0.25">
      <c r="G110" s="166" t="s">
        <v>83</v>
      </c>
      <c r="H110" s="166"/>
      <c r="I110" s="166"/>
      <c r="J110" s="166"/>
      <c r="K110" s="166"/>
      <c r="L110" s="38"/>
      <c r="M110" s="39"/>
      <c r="N110" s="39"/>
      <c r="O110" s="40">
        <f>-(O109)</f>
        <v>1.9318984900517071</v>
      </c>
      <c r="P110" s="39"/>
    </row>
    <row r="111" spans="7:16" x14ac:dyDescent="0.25">
      <c r="G111" s="167" t="s">
        <v>84</v>
      </c>
      <c r="H111" s="167"/>
      <c r="I111" s="167"/>
      <c r="J111" s="167"/>
      <c r="K111" s="167"/>
      <c r="L111" s="41"/>
      <c r="M111" s="42"/>
      <c r="N111" s="42"/>
      <c r="O111" s="43">
        <f>O110/LN(12)</f>
        <v>0.7774531450573916</v>
      </c>
      <c r="P111" s="42"/>
    </row>
    <row r="112" spans="7:16" x14ac:dyDescent="0.25">
      <c r="G112" s="168" t="s">
        <v>85</v>
      </c>
      <c r="H112" s="168"/>
      <c r="I112" s="168"/>
      <c r="J112" s="168"/>
      <c r="K112" s="168"/>
      <c r="L112" s="44"/>
      <c r="M112" s="45"/>
      <c r="N112" s="45"/>
      <c r="O112" s="46">
        <f>P109</f>
        <v>0.18976799524092802</v>
      </c>
      <c r="P112" s="45"/>
    </row>
  </sheetData>
  <mergeCells count="7">
    <mergeCell ref="G109:K109"/>
    <mergeCell ref="G110:K110"/>
    <mergeCell ref="G111:K111"/>
    <mergeCell ref="G112:K112"/>
    <mergeCell ref="A1:C1"/>
    <mergeCell ref="A2:B2"/>
    <mergeCell ref="A3:B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150"/>
  <sheetViews>
    <sheetView topLeftCell="A120" zoomScale="70" zoomScaleNormal="70" workbookViewId="0">
      <selection activeCell="AB128" sqref="AB128"/>
    </sheetView>
  </sheetViews>
  <sheetFormatPr defaultRowHeight="15" x14ac:dyDescent="0.25"/>
  <cols>
    <col min="2" max="2" width="14" customWidth="1"/>
    <col min="3" max="3" width="17.5703125" customWidth="1"/>
    <col min="4" max="4" width="14.85546875" customWidth="1"/>
    <col min="5" max="5" width="15" customWidth="1"/>
    <col min="6" max="6" width="16" customWidth="1"/>
    <col min="7" max="7" width="10.7109375" customWidth="1"/>
    <col min="8" max="8" width="12.140625" customWidth="1"/>
    <col min="11" max="11" width="14.7109375" customWidth="1"/>
    <col min="12" max="12" width="15.5703125" customWidth="1"/>
    <col min="13" max="13" width="11.85546875" customWidth="1"/>
    <col min="14" max="14" width="14.42578125" style="24" customWidth="1"/>
    <col min="15" max="15" width="13.5703125" style="24" customWidth="1"/>
    <col min="16" max="16" width="14" customWidth="1"/>
    <col min="17" max="17" width="13.5703125" customWidth="1"/>
    <col min="18" max="18" width="21.28515625" customWidth="1"/>
    <col min="19" max="23" width="9.140625" style="24"/>
    <col min="28" max="28" width="11.85546875" customWidth="1"/>
  </cols>
  <sheetData>
    <row r="3" spans="2:14" ht="15.75" x14ac:dyDescent="0.25">
      <c r="B3" s="25"/>
      <c r="C3" s="22"/>
      <c r="D3" s="22"/>
      <c r="E3" s="22"/>
      <c r="F3" s="22"/>
      <c r="G3" s="22"/>
      <c r="H3" s="22"/>
      <c r="I3" s="23"/>
      <c r="J3" s="23"/>
      <c r="K3" s="23"/>
      <c r="L3" s="23"/>
      <c r="N3" s="27"/>
    </row>
    <row r="4" spans="2:14" ht="15.75" x14ac:dyDescent="0.25">
      <c r="B4" s="2"/>
      <c r="C4" s="21"/>
      <c r="D4" s="21"/>
      <c r="E4" s="21"/>
      <c r="F4" s="21"/>
      <c r="G4" s="8"/>
      <c r="H4" s="20"/>
      <c r="I4" s="19"/>
      <c r="J4" s="20"/>
      <c r="K4" s="19"/>
      <c r="L4" s="30"/>
    </row>
    <row r="5" spans="2:14" ht="15.75" x14ac:dyDescent="0.25">
      <c r="B5" s="2"/>
      <c r="C5" s="21"/>
      <c r="D5" s="21"/>
      <c r="E5" s="21"/>
      <c r="F5" s="21"/>
      <c r="G5" s="8"/>
      <c r="H5" s="20"/>
      <c r="I5" s="19"/>
      <c r="J5" s="20"/>
      <c r="K5" s="19"/>
      <c r="L5" s="30"/>
    </row>
    <row r="6" spans="2:14" ht="15.75" x14ac:dyDescent="0.25">
      <c r="B6" s="2"/>
      <c r="C6" s="8"/>
      <c r="D6" s="8"/>
      <c r="E6" s="8"/>
      <c r="F6" s="8"/>
      <c r="G6" s="8"/>
      <c r="H6" s="20"/>
      <c r="I6" s="19"/>
      <c r="J6" s="20"/>
      <c r="K6" s="19"/>
      <c r="L6" s="30"/>
    </row>
    <row r="7" spans="2:14" ht="15.75" x14ac:dyDescent="0.25">
      <c r="B7" s="2"/>
      <c r="C7" s="8"/>
      <c r="D7" s="8"/>
      <c r="E7" s="8"/>
      <c r="F7" s="8"/>
      <c r="G7" s="8"/>
      <c r="H7" s="20"/>
      <c r="I7" s="19"/>
      <c r="J7" s="20"/>
      <c r="K7" s="19"/>
      <c r="L7" s="30"/>
    </row>
    <row r="8" spans="2:14" ht="15.75" x14ac:dyDescent="0.25">
      <c r="B8" s="2"/>
      <c r="C8" s="8"/>
      <c r="D8" s="8"/>
      <c r="E8" s="8"/>
      <c r="F8" s="8"/>
      <c r="G8" s="8"/>
      <c r="H8" s="20"/>
      <c r="I8" s="19"/>
      <c r="J8" s="20"/>
      <c r="K8" s="19"/>
      <c r="L8" s="30"/>
    </row>
    <row r="9" spans="2:14" ht="15.75" x14ac:dyDescent="0.25">
      <c r="B9" s="2"/>
      <c r="C9" s="21"/>
      <c r="D9" s="21"/>
      <c r="E9" s="8"/>
      <c r="F9" s="8"/>
      <c r="G9" s="8"/>
      <c r="H9" s="20"/>
      <c r="I9" s="19"/>
      <c r="J9" s="20"/>
      <c r="K9" s="19"/>
      <c r="L9" s="30"/>
    </row>
    <row r="10" spans="2:14" ht="15.75" x14ac:dyDescent="0.25">
      <c r="B10" s="2"/>
      <c r="C10" s="8"/>
      <c r="D10" s="21"/>
      <c r="E10" s="8"/>
      <c r="F10" s="8"/>
      <c r="G10" s="8"/>
      <c r="H10" s="20"/>
      <c r="I10" s="19"/>
      <c r="J10" s="20"/>
      <c r="K10" s="19"/>
      <c r="L10" s="30"/>
    </row>
    <row r="11" spans="2:14" ht="15.75" x14ac:dyDescent="0.25">
      <c r="B11" s="2"/>
      <c r="C11" s="8"/>
      <c r="D11" s="21"/>
      <c r="E11" s="8"/>
      <c r="F11" s="8"/>
      <c r="G11" s="8"/>
      <c r="H11" s="20"/>
      <c r="I11" s="19"/>
      <c r="J11" s="20"/>
      <c r="K11" s="19"/>
      <c r="L11" s="30"/>
    </row>
    <row r="12" spans="2:14" ht="15.75" x14ac:dyDescent="0.25">
      <c r="B12" s="2"/>
      <c r="C12" s="8"/>
      <c r="D12" s="21"/>
      <c r="E12" s="8"/>
      <c r="F12" s="21"/>
      <c r="G12" s="8"/>
      <c r="H12" s="20"/>
      <c r="I12" s="19"/>
      <c r="J12" s="20"/>
      <c r="K12" s="19"/>
      <c r="L12" s="30"/>
    </row>
    <row r="13" spans="2:14" ht="15.75" x14ac:dyDescent="0.25">
      <c r="B13" s="2"/>
      <c r="C13" s="8"/>
      <c r="D13" s="21"/>
      <c r="E13" s="8"/>
      <c r="F13" s="21"/>
      <c r="G13" s="8"/>
      <c r="H13" s="20"/>
      <c r="I13" s="19"/>
      <c r="J13" s="20"/>
      <c r="K13" s="19"/>
      <c r="L13" s="30"/>
    </row>
    <row r="14" spans="2:14" ht="15.75" x14ac:dyDescent="0.25">
      <c r="B14" s="2"/>
      <c r="C14" s="8"/>
      <c r="D14" s="21"/>
      <c r="E14" s="8"/>
      <c r="F14" s="21"/>
      <c r="G14" s="8"/>
      <c r="H14" s="20"/>
      <c r="I14" s="19"/>
      <c r="J14" s="20"/>
      <c r="K14" s="19"/>
      <c r="L14" s="30"/>
    </row>
    <row r="15" spans="2:14" ht="15.75" x14ac:dyDescent="0.25">
      <c r="B15" s="2"/>
      <c r="C15" s="8"/>
      <c r="D15" s="21"/>
      <c r="E15" s="8"/>
      <c r="F15" s="21"/>
      <c r="G15" s="8"/>
      <c r="H15" s="20"/>
      <c r="I15" s="19"/>
      <c r="J15" s="20"/>
      <c r="K15" s="19"/>
      <c r="L15" s="30"/>
    </row>
    <row r="16" spans="2:14" ht="15.75" x14ac:dyDescent="0.25">
      <c r="B16" s="2"/>
      <c r="C16" s="8"/>
      <c r="D16" s="21"/>
      <c r="E16" s="8"/>
      <c r="F16" s="21"/>
      <c r="G16" s="8"/>
      <c r="H16" s="20"/>
      <c r="I16" s="19"/>
      <c r="J16" s="20"/>
      <c r="K16" s="19"/>
      <c r="L16" s="30"/>
    </row>
    <row r="17" spans="2:12" ht="15.75" x14ac:dyDescent="0.25">
      <c r="B17" s="2"/>
      <c r="C17" s="8"/>
      <c r="D17" s="21"/>
      <c r="E17" s="8"/>
      <c r="F17" s="21"/>
      <c r="G17" s="8"/>
      <c r="H17" s="20"/>
      <c r="I17" s="19"/>
      <c r="J17" s="20"/>
      <c r="K17" s="19"/>
      <c r="L17" s="30"/>
    </row>
    <row r="18" spans="2:12" ht="15.75" x14ac:dyDescent="0.25">
      <c r="B18" s="2"/>
      <c r="C18" s="8"/>
      <c r="D18" s="21"/>
      <c r="E18" s="8"/>
      <c r="F18" s="21"/>
      <c r="G18" s="8"/>
      <c r="H18" s="20"/>
      <c r="I18" s="19"/>
      <c r="J18" s="20"/>
      <c r="K18" s="19"/>
      <c r="L18" s="30"/>
    </row>
    <row r="19" spans="2:12" ht="15.75" x14ac:dyDescent="0.25">
      <c r="B19" s="2"/>
      <c r="C19" s="8"/>
      <c r="D19" s="21"/>
      <c r="E19" s="8"/>
      <c r="F19" s="21"/>
      <c r="G19" s="8"/>
      <c r="H19" s="20"/>
      <c r="I19" s="19"/>
      <c r="J19" s="20"/>
      <c r="K19" s="19"/>
      <c r="L19" s="30"/>
    </row>
    <row r="20" spans="2:12" ht="15.75" x14ac:dyDescent="0.25">
      <c r="B20" s="2"/>
      <c r="C20" s="8"/>
      <c r="D20" s="21"/>
      <c r="E20" s="8"/>
      <c r="F20" s="8"/>
      <c r="G20" s="8"/>
      <c r="H20" s="20"/>
      <c r="I20" s="19"/>
      <c r="J20" s="20"/>
      <c r="K20" s="19"/>
      <c r="L20" s="30"/>
    </row>
    <row r="21" spans="2:12" ht="15.75" x14ac:dyDescent="0.25">
      <c r="B21" s="2"/>
      <c r="C21" s="8"/>
      <c r="D21" s="21"/>
      <c r="E21" s="8"/>
      <c r="F21" s="8"/>
      <c r="G21" s="8"/>
      <c r="H21" s="20"/>
      <c r="I21" s="19"/>
      <c r="J21" s="20"/>
      <c r="K21" s="19"/>
      <c r="L21" s="30"/>
    </row>
    <row r="22" spans="2:12" ht="15.75" x14ac:dyDescent="0.25">
      <c r="B22" s="2"/>
      <c r="C22" s="8"/>
      <c r="D22" s="21"/>
      <c r="E22" s="8"/>
      <c r="F22" s="21"/>
      <c r="G22" s="8"/>
      <c r="H22" s="20"/>
      <c r="I22" s="19"/>
      <c r="J22" s="20"/>
      <c r="K22" s="19"/>
      <c r="L22" s="30"/>
    </row>
    <row r="23" spans="2:12" ht="15.75" x14ac:dyDescent="0.25">
      <c r="B23" s="2"/>
      <c r="C23" s="8"/>
      <c r="D23" s="8"/>
      <c r="E23" s="8"/>
      <c r="F23" s="8"/>
      <c r="G23" s="8"/>
      <c r="H23" s="20"/>
      <c r="I23" s="19"/>
      <c r="J23" s="20"/>
      <c r="K23" s="19"/>
      <c r="L23" s="30"/>
    </row>
    <row r="24" spans="2:12" ht="15.75" x14ac:dyDescent="0.25">
      <c r="B24" s="2"/>
      <c r="C24" s="8"/>
      <c r="D24" s="8"/>
      <c r="E24" s="8"/>
      <c r="F24" s="8"/>
      <c r="G24" s="8"/>
      <c r="H24" s="20"/>
      <c r="I24" s="19"/>
      <c r="J24" s="20"/>
      <c r="K24" s="19"/>
      <c r="L24" s="30"/>
    </row>
    <row r="25" spans="2:12" ht="15.75" x14ac:dyDescent="0.25">
      <c r="B25" s="2"/>
      <c r="C25" s="8"/>
      <c r="D25" s="8"/>
      <c r="E25" s="8"/>
      <c r="F25" s="8"/>
      <c r="G25" s="8"/>
      <c r="H25" s="20"/>
      <c r="I25" s="19"/>
      <c r="J25" s="20"/>
      <c r="K25" s="19"/>
      <c r="L25" s="30"/>
    </row>
    <row r="26" spans="2:12" ht="15.75" x14ac:dyDescent="0.25">
      <c r="B26" s="2"/>
      <c r="C26" s="8"/>
      <c r="D26" s="21"/>
      <c r="E26" s="21"/>
      <c r="F26" s="29"/>
      <c r="G26" s="8"/>
      <c r="H26" s="20"/>
      <c r="I26" s="19"/>
      <c r="J26" s="20"/>
      <c r="K26" s="19"/>
      <c r="L26" s="30"/>
    </row>
    <row r="27" spans="2:12" ht="15.75" x14ac:dyDescent="0.25">
      <c r="B27" s="2"/>
      <c r="C27" s="8"/>
      <c r="D27" s="8"/>
      <c r="E27" s="8"/>
      <c r="F27" s="8"/>
      <c r="G27" s="8"/>
      <c r="H27" s="20"/>
      <c r="I27" s="19"/>
      <c r="J27" s="20"/>
      <c r="K27" s="19"/>
      <c r="L27" s="30"/>
    </row>
    <row r="28" spans="2:12" ht="15.75" x14ac:dyDescent="0.25">
      <c r="B28" s="2"/>
      <c r="C28" s="21"/>
      <c r="D28" s="21"/>
      <c r="E28" s="21"/>
      <c r="F28" s="8"/>
      <c r="G28" s="8"/>
      <c r="H28" s="20"/>
      <c r="I28" s="19"/>
      <c r="J28" s="20"/>
      <c r="K28" s="19"/>
      <c r="L28" s="30"/>
    </row>
    <row r="29" spans="2:12" ht="15.75" x14ac:dyDescent="0.25">
      <c r="B29" s="2"/>
      <c r="C29" s="8"/>
      <c r="D29" s="8"/>
      <c r="E29" s="21"/>
      <c r="F29" s="21"/>
      <c r="G29" s="8"/>
      <c r="H29" s="20"/>
      <c r="I29" s="19"/>
      <c r="J29" s="20"/>
      <c r="K29" s="19"/>
      <c r="L29" s="30"/>
    </row>
    <row r="30" spans="2:12" ht="15.75" x14ac:dyDescent="0.25">
      <c r="B30" s="2"/>
      <c r="C30" s="8"/>
      <c r="D30" s="8"/>
      <c r="E30" s="8"/>
      <c r="F30" s="21"/>
      <c r="G30" s="8"/>
      <c r="H30" s="20"/>
      <c r="I30" s="19"/>
      <c r="J30" s="20"/>
      <c r="K30" s="19"/>
      <c r="L30" s="30"/>
    </row>
    <row r="31" spans="2:12" ht="15.75" x14ac:dyDescent="0.25">
      <c r="B31" s="2"/>
      <c r="C31" s="8"/>
      <c r="D31" s="8"/>
      <c r="E31" s="8"/>
      <c r="F31" s="21"/>
      <c r="G31" s="8"/>
      <c r="H31" s="20"/>
      <c r="I31" s="19"/>
      <c r="J31" s="20"/>
      <c r="K31" s="19"/>
      <c r="L31" s="30"/>
    </row>
    <row r="32" spans="2:12" ht="15.75" x14ac:dyDescent="0.25">
      <c r="B32" s="2"/>
      <c r="C32" s="8"/>
      <c r="D32" s="8"/>
      <c r="E32" s="8"/>
      <c r="F32" s="21"/>
      <c r="G32" s="8"/>
      <c r="H32" s="20"/>
      <c r="I32" s="19"/>
      <c r="J32" s="20"/>
      <c r="K32" s="19"/>
      <c r="L32" s="30"/>
    </row>
    <row r="33" spans="2:31" ht="15.75" x14ac:dyDescent="0.25">
      <c r="B33" s="2"/>
      <c r="C33" s="8"/>
      <c r="D33" s="8"/>
      <c r="E33" s="8"/>
      <c r="F33" s="8"/>
      <c r="G33" s="8"/>
      <c r="H33" s="20"/>
      <c r="I33" s="19"/>
      <c r="J33" s="20"/>
      <c r="K33" s="19"/>
      <c r="L33" s="30"/>
    </row>
    <row r="34" spans="2:31" ht="15.75" x14ac:dyDescent="0.25">
      <c r="B34" s="2"/>
      <c r="C34" s="8"/>
      <c r="D34" s="8"/>
      <c r="E34" s="8"/>
      <c r="F34" s="8"/>
      <c r="G34" s="8"/>
      <c r="H34" s="20"/>
      <c r="I34" s="19"/>
      <c r="J34" s="20"/>
      <c r="K34" s="19"/>
      <c r="L34" s="30"/>
    </row>
    <row r="35" spans="2:31" ht="15.75" x14ac:dyDescent="0.25">
      <c r="B35" s="21"/>
      <c r="C35" s="172"/>
      <c r="D35" s="172"/>
      <c r="E35" s="172"/>
      <c r="F35" s="172"/>
      <c r="G35" s="21"/>
      <c r="H35" s="161"/>
      <c r="I35" s="162"/>
      <c r="J35" s="163"/>
      <c r="K35" s="163"/>
      <c r="L35" s="163"/>
    </row>
    <row r="36" spans="2:31" ht="15.75" x14ac:dyDescent="0.25">
      <c r="B36" s="21"/>
      <c r="C36" s="172"/>
      <c r="D36" s="172"/>
      <c r="E36" s="172"/>
      <c r="F36" s="172"/>
      <c r="G36" s="172"/>
      <c r="H36" s="21"/>
      <c r="I36" s="21"/>
      <c r="J36" s="21"/>
      <c r="K36" s="163"/>
      <c r="L36" s="21"/>
    </row>
    <row r="37" spans="2:31" ht="15.75" x14ac:dyDescent="0.25">
      <c r="B37" s="21"/>
      <c r="C37" s="172"/>
      <c r="D37" s="172"/>
      <c r="E37" s="172"/>
      <c r="F37" s="172"/>
      <c r="G37" s="172"/>
      <c r="H37" s="21"/>
      <c r="I37" s="21"/>
      <c r="J37" s="21"/>
      <c r="K37" s="162"/>
      <c r="L37" s="21"/>
    </row>
    <row r="38" spans="2:31" ht="15.75" x14ac:dyDescent="0.25">
      <c r="B38" s="21"/>
      <c r="C38" s="172"/>
      <c r="D38" s="172"/>
      <c r="E38" s="172"/>
      <c r="F38" s="172"/>
      <c r="G38" s="172"/>
      <c r="H38" s="21"/>
      <c r="I38" s="21"/>
      <c r="J38" s="21"/>
      <c r="K38" s="163"/>
      <c r="L38" s="21"/>
    </row>
    <row r="40" spans="2:31" x14ac:dyDescent="0.25">
      <c r="N40" s="72" t="s">
        <v>86</v>
      </c>
      <c r="O40" s="66" t="s">
        <v>6</v>
      </c>
      <c r="P40" s="66" t="s">
        <v>88</v>
      </c>
      <c r="Q40" s="66" t="s">
        <v>3</v>
      </c>
      <c r="R40" s="66" t="s">
        <v>65</v>
      </c>
      <c r="S40" s="66" t="s">
        <v>66</v>
      </c>
      <c r="T40" s="67" t="s">
        <v>79</v>
      </c>
      <c r="U40" s="67" t="s">
        <v>81</v>
      </c>
      <c r="V40" s="67" t="s">
        <v>80</v>
      </c>
      <c r="W40" s="67" t="s">
        <v>87</v>
      </c>
      <c r="Z40" s="137"/>
      <c r="AA40" s="137"/>
      <c r="AB40" s="137"/>
      <c r="AD40" s="137"/>
      <c r="AE40" s="88"/>
    </row>
    <row r="41" spans="2:31" x14ac:dyDescent="0.25">
      <c r="C41" s="10"/>
      <c r="D41" s="10"/>
      <c r="E41" s="10"/>
      <c r="N41" s="73">
        <v>1</v>
      </c>
      <c r="O41" s="74" t="s">
        <v>158</v>
      </c>
      <c r="P41" s="68" t="s">
        <v>89</v>
      </c>
      <c r="Q41" s="68" t="s">
        <v>21</v>
      </c>
      <c r="R41" s="68" t="s">
        <v>177</v>
      </c>
      <c r="S41" s="75">
        <f>1+1+3+2+1</f>
        <v>8</v>
      </c>
      <c r="T41" s="76">
        <f t="shared" ref="T41:T71" si="0">S41/960</f>
        <v>8.3333333333333332E-3</v>
      </c>
      <c r="U41" s="78">
        <f>LN(T41)</f>
        <v>-4.7874917427820458</v>
      </c>
      <c r="V41" s="76">
        <f>T41*U41</f>
        <v>-3.9895764523183712E-2</v>
      </c>
      <c r="W41" s="85">
        <f>T41^2</f>
        <v>6.9444444444444444E-5</v>
      </c>
      <c r="AB41" s="88"/>
      <c r="AE41" s="88"/>
    </row>
    <row r="42" spans="2:31" ht="15.75" x14ac:dyDescent="0.25">
      <c r="C42" s="10"/>
      <c r="D42" s="21"/>
      <c r="E42" s="134"/>
      <c r="N42" s="73">
        <v>2</v>
      </c>
      <c r="O42" s="74" t="s">
        <v>158</v>
      </c>
      <c r="P42" s="68" t="s">
        <v>89</v>
      </c>
      <c r="Q42" s="68" t="s">
        <v>21</v>
      </c>
      <c r="R42" s="68" t="s">
        <v>162</v>
      </c>
      <c r="S42" s="75">
        <f>1+0+0+0+0</f>
        <v>1</v>
      </c>
      <c r="T42" s="76">
        <f t="shared" si="0"/>
        <v>1.0416666666666667E-3</v>
      </c>
      <c r="U42" s="78">
        <f t="shared" ref="U42:U68" si="1">LN(T42)</f>
        <v>-6.866933284461882</v>
      </c>
      <c r="V42" s="76">
        <f t="shared" ref="V42:V68" si="2">T42*U42</f>
        <v>-7.1530555046477933E-3</v>
      </c>
      <c r="W42" s="82">
        <f t="shared" ref="W42:W68" si="3">T42^2</f>
        <v>1.0850694444444444E-6</v>
      </c>
      <c r="AB42" s="88"/>
      <c r="AE42" s="88"/>
    </row>
    <row r="43" spans="2:31" ht="15.75" x14ac:dyDescent="0.25">
      <c r="C43" s="10"/>
      <c r="D43" s="8"/>
      <c r="E43" s="134"/>
      <c r="N43" s="73">
        <v>3</v>
      </c>
      <c r="O43" s="75" t="s">
        <v>28</v>
      </c>
      <c r="P43" s="69" t="s">
        <v>89</v>
      </c>
      <c r="Q43" s="68" t="s">
        <v>26</v>
      </c>
      <c r="R43" s="68" t="s">
        <v>67</v>
      </c>
      <c r="S43" s="75">
        <f>4+0+13+0+0</f>
        <v>17</v>
      </c>
      <c r="T43" s="76">
        <f>S43/960</f>
        <v>1.7708333333333333E-2</v>
      </c>
      <c r="U43" s="78">
        <f>LN(T43)</f>
        <v>-4.0337199404056658</v>
      </c>
      <c r="V43" s="76">
        <f>T43*U43</f>
        <v>-7.1430457278017001E-2</v>
      </c>
      <c r="W43" s="82">
        <f>T43^2</f>
        <v>3.135850694444444E-4</v>
      </c>
      <c r="AB43" s="88"/>
      <c r="AE43" s="88"/>
    </row>
    <row r="44" spans="2:31" ht="15.75" x14ac:dyDescent="0.25">
      <c r="C44" s="10"/>
      <c r="D44" s="21"/>
      <c r="E44" s="134"/>
      <c r="N44" s="73">
        <v>4</v>
      </c>
      <c r="O44" s="74" t="s">
        <v>19</v>
      </c>
      <c r="P44" s="68" t="s">
        <v>89</v>
      </c>
      <c r="Q44" s="68" t="s">
        <v>29</v>
      </c>
      <c r="R44" s="69" t="s">
        <v>67</v>
      </c>
      <c r="S44" s="75">
        <f>6+3+7+0+0</f>
        <v>16</v>
      </c>
      <c r="T44" s="76">
        <f t="shared" si="0"/>
        <v>1.6666666666666666E-2</v>
      </c>
      <c r="U44" s="78">
        <f t="shared" si="1"/>
        <v>-4.0943445622221004</v>
      </c>
      <c r="V44" s="76">
        <f t="shared" si="2"/>
        <v>-6.823907603703501E-2</v>
      </c>
      <c r="W44" s="82">
        <f t="shared" si="3"/>
        <v>2.7777777777777778E-4</v>
      </c>
      <c r="AB44" s="88"/>
      <c r="AE44" s="88"/>
    </row>
    <row r="45" spans="2:31" x14ac:dyDescent="0.25">
      <c r="C45" s="10"/>
      <c r="D45" s="69"/>
      <c r="E45" s="134"/>
      <c r="N45" s="73">
        <v>5</v>
      </c>
      <c r="O45" s="75" t="s">
        <v>19</v>
      </c>
      <c r="P45" s="69" t="s">
        <v>91</v>
      </c>
      <c r="Q45" s="69" t="s">
        <v>20</v>
      </c>
      <c r="R45" s="68" t="s">
        <v>165</v>
      </c>
      <c r="S45" s="75">
        <f>7+1+21+4+12+13</f>
        <v>58</v>
      </c>
      <c r="T45" s="76">
        <f t="shared" si="0"/>
        <v>6.0416666666666667E-2</v>
      </c>
      <c r="U45" s="78">
        <f t="shared" si="1"/>
        <v>-2.8064902739154625</v>
      </c>
      <c r="V45" s="76">
        <f t="shared" si="2"/>
        <v>-0.16955878738239252</v>
      </c>
      <c r="W45" s="82">
        <f t="shared" si="3"/>
        <v>3.650173611111111E-3</v>
      </c>
      <c r="AB45" s="88"/>
      <c r="AE45" s="88"/>
    </row>
    <row r="46" spans="2:31" x14ac:dyDescent="0.25">
      <c r="C46" s="10"/>
      <c r="D46" s="69"/>
      <c r="E46" s="134"/>
      <c r="N46" s="73">
        <v>6</v>
      </c>
      <c r="O46" s="75" t="s">
        <v>7</v>
      </c>
      <c r="P46" s="69" t="s">
        <v>91</v>
      </c>
      <c r="Q46" s="69" t="s">
        <v>20</v>
      </c>
      <c r="R46" s="68" t="s">
        <v>166</v>
      </c>
      <c r="S46" s="75">
        <f>0+5+0+0+0</f>
        <v>5</v>
      </c>
      <c r="T46" s="76">
        <f t="shared" si="0"/>
        <v>5.208333333333333E-3</v>
      </c>
      <c r="U46" s="78">
        <f t="shared" si="1"/>
        <v>-5.2574953720277815</v>
      </c>
      <c r="V46" s="76">
        <f t="shared" si="2"/>
        <v>-2.7382788395978026E-2</v>
      </c>
      <c r="W46" s="82">
        <f t="shared" si="3"/>
        <v>2.712673611111111E-5</v>
      </c>
      <c r="AB46" s="88"/>
      <c r="AE46" s="88"/>
    </row>
    <row r="47" spans="2:31" ht="15.75" x14ac:dyDescent="0.25">
      <c r="C47" s="10"/>
      <c r="D47" s="8"/>
      <c r="E47" s="134"/>
      <c r="N47" s="73">
        <v>7</v>
      </c>
      <c r="O47" s="74" t="s">
        <v>7</v>
      </c>
      <c r="P47" s="68" t="s">
        <v>91</v>
      </c>
      <c r="Q47" s="69" t="s">
        <v>8</v>
      </c>
      <c r="R47" s="69" t="s">
        <v>167</v>
      </c>
      <c r="S47" s="75">
        <f>10+36+29+16+2</f>
        <v>93</v>
      </c>
      <c r="T47" s="76">
        <f t="shared" si="0"/>
        <v>9.6875000000000003E-2</v>
      </c>
      <c r="U47" s="78">
        <f t="shared" si="1"/>
        <v>-2.3343337913086262</v>
      </c>
      <c r="V47" s="76">
        <f t="shared" si="2"/>
        <v>-0.22613858603302317</v>
      </c>
      <c r="W47" s="82">
        <f t="shared" si="3"/>
        <v>9.3847656250000012E-3</v>
      </c>
      <c r="AB47" s="88"/>
    </row>
    <row r="48" spans="2:31" ht="15.75" x14ac:dyDescent="0.25">
      <c r="C48" s="10"/>
      <c r="D48" s="8"/>
      <c r="E48" s="134"/>
      <c r="N48" s="73">
        <v>8</v>
      </c>
      <c r="O48" s="74" t="s">
        <v>7</v>
      </c>
      <c r="P48" s="68" t="s">
        <v>91</v>
      </c>
      <c r="Q48" s="69" t="s">
        <v>8</v>
      </c>
      <c r="R48" s="69" t="s">
        <v>168</v>
      </c>
      <c r="S48" s="75">
        <f>1+2+0+0+0</f>
        <v>3</v>
      </c>
      <c r="T48" s="76">
        <f t="shared" si="0"/>
        <v>3.1250000000000002E-3</v>
      </c>
      <c r="U48" s="78">
        <f t="shared" si="1"/>
        <v>-5.768320995793772</v>
      </c>
      <c r="V48" s="76">
        <f t="shared" si="2"/>
        <v>-1.8026003111855537E-2</v>
      </c>
      <c r="W48" s="82">
        <f t="shared" si="3"/>
        <v>9.7656250000000019E-6</v>
      </c>
    </row>
    <row r="49" spans="3:23" x14ac:dyDescent="0.25">
      <c r="C49" s="10"/>
      <c r="D49" s="10"/>
      <c r="E49" s="135"/>
      <c r="N49" s="73">
        <v>9</v>
      </c>
      <c r="O49" s="74" t="s">
        <v>7</v>
      </c>
      <c r="P49" s="68" t="s">
        <v>91</v>
      </c>
      <c r="Q49" s="69" t="s">
        <v>8</v>
      </c>
      <c r="R49" s="69" t="s">
        <v>169</v>
      </c>
      <c r="S49" s="75">
        <f>52+97+19+13+32</f>
        <v>213</v>
      </c>
      <c r="T49" s="76">
        <f t="shared" si="0"/>
        <v>0.22187499999999999</v>
      </c>
      <c r="U49" s="78">
        <f t="shared" si="1"/>
        <v>-1.5056411187524568</v>
      </c>
      <c r="V49" s="76">
        <f t="shared" si="2"/>
        <v>-0.33406412322320134</v>
      </c>
      <c r="W49" s="82">
        <f t="shared" si="3"/>
        <v>4.9228515624999997E-2</v>
      </c>
    </row>
    <row r="50" spans="3:23" x14ac:dyDescent="0.25">
      <c r="N50" s="73">
        <v>10</v>
      </c>
      <c r="O50" s="75" t="s">
        <v>7</v>
      </c>
      <c r="P50" s="69" t="s">
        <v>91</v>
      </c>
      <c r="Q50" s="69" t="s">
        <v>8</v>
      </c>
      <c r="R50" s="69" t="s">
        <v>170</v>
      </c>
      <c r="S50" s="75">
        <f>8+59+7+15+2</f>
        <v>91</v>
      </c>
      <c r="T50" s="76">
        <f t="shared" si="0"/>
        <v>9.4791666666666663E-2</v>
      </c>
      <c r="U50" s="78">
        <f>LN(T50)</f>
        <v>-2.3560737779450318</v>
      </c>
      <c r="V50" s="76">
        <f>T50*U50</f>
        <v>-0.22333616020103947</v>
      </c>
      <c r="W50" s="82">
        <f>T50^2</f>
        <v>8.9854600694444439E-3</v>
      </c>
    </row>
    <row r="51" spans="3:23" x14ac:dyDescent="0.25">
      <c r="N51" s="73">
        <v>11</v>
      </c>
      <c r="O51" s="75" t="s">
        <v>7</v>
      </c>
      <c r="P51" s="68" t="s">
        <v>91</v>
      </c>
      <c r="Q51" s="69" t="s">
        <v>8</v>
      </c>
      <c r="R51" s="68" t="s">
        <v>9</v>
      </c>
      <c r="S51" s="75">
        <f>34+13+11+17+36</f>
        <v>111</v>
      </c>
      <c r="T51" s="76">
        <f t="shared" si="0"/>
        <v>0.11562500000000001</v>
      </c>
      <c r="U51" s="78">
        <f t="shared" si="1"/>
        <v>-2.1574030831495477</v>
      </c>
      <c r="V51" s="76">
        <f t="shared" si="2"/>
        <v>-0.24944973148916647</v>
      </c>
      <c r="W51" s="82">
        <f t="shared" si="3"/>
        <v>1.3369140625000001E-2</v>
      </c>
    </row>
    <row r="52" spans="3:23" x14ac:dyDescent="0.25">
      <c r="N52" s="73">
        <v>12</v>
      </c>
      <c r="O52" s="75" t="s">
        <v>7</v>
      </c>
      <c r="P52" s="68" t="s">
        <v>91</v>
      </c>
      <c r="Q52" s="69" t="s">
        <v>8</v>
      </c>
      <c r="R52" s="68" t="s">
        <v>16</v>
      </c>
      <c r="S52" s="75">
        <f>1+2+19+4+4</f>
        <v>30</v>
      </c>
      <c r="T52" s="76">
        <f t="shared" si="0"/>
        <v>3.125E-2</v>
      </c>
      <c r="U52" s="78">
        <f t="shared" si="1"/>
        <v>-3.4657359027997265</v>
      </c>
      <c r="V52" s="76">
        <f t="shared" si="2"/>
        <v>-0.10830424696249145</v>
      </c>
      <c r="W52" s="82">
        <f t="shared" si="3"/>
        <v>9.765625E-4</v>
      </c>
    </row>
    <row r="53" spans="3:23" x14ac:dyDescent="0.25">
      <c r="N53" s="73">
        <v>13</v>
      </c>
      <c r="O53" s="75" t="s">
        <v>7</v>
      </c>
      <c r="P53" s="68" t="s">
        <v>91</v>
      </c>
      <c r="Q53" s="69" t="s">
        <v>8</v>
      </c>
      <c r="R53" s="68" t="s">
        <v>23</v>
      </c>
      <c r="S53" s="75">
        <f>0+5+0+0+0</f>
        <v>5</v>
      </c>
      <c r="T53" s="76">
        <f t="shared" si="0"/>
        <v>5.208333333333333E-3</v>
      </c>
      <c r="U53" s="78">
        <f t="shared" si="1"/>
        <v>-5.2574953720277815</v>
      </c>
      <c r="V53" s="76">
        <f t="shared" si="2"/>
        <v>-2.7382788395978026E-2</v>
      </c>
      <c r="W53" s="82">
        <f t="shared" si="3"/>
        <v>2.712673611111111E-5</v>
      </c>
    </row>
    <row r="54" spans="3:23" x14ac:dyDescent="0.25">
      <c r="N54" s="73">
        <v>14</v>
      </c>
      <c r="O54" s="75" t="s">
        <v>7</v>
      </c>
      <c r="P54" s="68" t="s">
        <v>91</v>
      </c>
      <c r="Q54" s="69" t="s">
        <v>8</v>
      </c>
      <c r="R54" s="68" t="s">
        <v>31</v>
      </c>
      <c r="S54" s="75">
        <f>0+1+0+4+0</f>
        <v>5</v>
      </c>
      <c r="T54" s="76">
        <f t="shared" si="0"/>
        <v>5.208333333333333E-3</v>
      </c>
      <c r="U54" s="78">
        <f t="shared" si="1"/>
        <v>-5.2574953720277815</v>
      </c>
      <c r="V54" s="76">
        <f t="shared" si="2"/>
        <v>-2.7382788395978026E-2</v>
      </c>
      <c r="W54" s="82">
        <f t="shared" si="3"/>
        <v>2.712673611111111E-5</v>
      </c>
    </row>
    <row r="55" spans="3:23" x14ac:dyDescent="0.25">
      <c r="N55" s="73">
        <v>15</v>
      </c>
      <c r="O55" s="75" t="s">
        <v>7</v>
      </c>
      <c r="P55" s="68" t="s">
        <v>91</v>
      </c>
      <c r="Q55" s="69" t="s">
        <v>14</v>
      </c>
      <c r="R55" s="68" t="s">
        <v>9</v>
      </c>
      <c r="S55" s="75">
        <f>0+2+0+1+4</f>
        <v>7</v>
      </c>
      <c r="T55" s="76">
        <f t="shared" si="0"/>
        <v>7.2916666666666668E-3</v>
      </c>
      <c r="U55" s="78">
        <f t="shared" si="1"/>
        <v>-4.9210231354065685</v>
      </c>
      <c r="V55" s="76">
        <f t="shared" si="2"/>
        <v>-3.5882460362339566E-2</v>
      </c>
      <c r="W55" s="82">
        <f t="shared" si="3"/>
        <v>5.3168402777777781E-5</v>
      </c>
    </row>
    <row r="56" spans="3:23" x14ac:dyDescent="0.25">
      <c r="C56" s="10"/>
      <c r="D56" s="10"/>
      <c r="E56" s="10"/>
      <c r="N56" s="73">
        <v>16</v>
      </c>
      <c r="O56" s="75" t="s">
        <v>7</v>
      </c>
      <c r="P56" s="68" t="s">
        <v>91</v>
      </c>
      <c r="Q56" s="69" t="s">
        <v>14</v>
      </c>
      <c r="R56" s="68" t="s">
        <v>16</v>
      </c>
      <c r="S56" s="75">
        <f>0+4+0+0+1</f>
        <v>5</v>
      </c>
      <c r="T56" s="76">
        <f t="shared" si="0"/>
        <v>5.208333333333333E-3</v>
      </c>
      <c r="U56" s="78">
        <f t="shared" si="1"/>
        <v>-5.2574953720277815</v>
      </c>
      <c r="V56" s="76">
        <f t="shared" si="2"/>
        <v>-2.7382788395978026E-2</v>
      </c>
      <c r="W56" s="82">
        <f t="shared" si="3"/>
        <v>2.712673611111111E-5</v>
      </c>
    </row>
    <row r="57" spans="3:23" ht="15.75" x14ac:dyDescent="0.25">
      <c r="C57" s="10"/>
      <c r="D57" s="21"/>
      <c r="E57" s="134"/>
      <c r="N57" s="73">
        <v>17</v>
      </c>
      <c r="O57" s="75" t="s">
        <v>7</v>
      </c>
      <c r="P57" s="68" t="s">
        <v>91</v>
      </c>
      <c r="Q57" s="69" t="s">
        <v>14</v>
      </c>
      <c r="R57" s="68" t="s">
        <v>23</v>
      </c>
      <c r="S57" s="75">
        <f>0+0+1+4+0</f>
        <v>5</v>
      </c>
      <c r="T57" s="76">
        <f t="shared" si="0"/>
        <v>5.208333333333333E-3</v>
      </c>
      <c r="U57" s="78">
        <f t="shared" si="1"/>
        <v>-5.2574953720277815</v>
      </c>
      <c r="V57" s="76">
        <f t="shared" si="2"/>
        <v>-2.7382788395978026E-2</v>
      </c>
      <c r="W57" s="82">
        <f t="shared" si="3"/>
        <v>2.712673611111111E-5</v>
      </c>
    </row>
    <row r="58" spans="3:23" ht="15.75" x14ac:dyDescent="0.25">
      <c r="C58" s="10"/>
      <c r="D58" s="8"/>
      <c r="E58" s="134"/>
      <c r="N58" s="73">
        <v>18</v>
      </c>
      <c r="O58" s="75" t="s">
        <v>7</v>
      </c>
      <c r="P58" s="68" t="s">
        <v>91</v>
      </c>
      <c r="Q58" s="69" t="s">
        <v>14</v>
      </c>
      <c r="R58" s="68" t="s">
        <v>31</v>
      </c>
      <c r="S58" s="75">
        <f>0+13+0+0+0</f>
        <v>13</v>
      </c>
      <c r="T58" s="76">
        <f t="shared" si="0"/>
        <v>1.3541666666666667E-2</v>
      </c>
      <c r="U58" s="78">
        <f t="shared" si="1"/>
        <v>-4.3019839270003448</v>
      </c>
      <c r="V58" s="76">
        <f t="shared" si="2"/>
        <v>-5.8256032344796337E-2</v>
      </c>
      <c r="W58" s="82">
        <f t="shared" si="3"/>
        <v>1.8337673611111113E-4</v>
      </c>
    </row>
    <row r="59" spans="3:23" ht="15.75" x14ac:dyDescent="0.25">
      <c r="C59" s="10"/>
      <c r="D59" s="21"/>
      <c r="E59" s="134"/>
      <c r="N59" s="73">
        <v>19</v>
      </c>
      <c r="O59" s="75" t="s">
        <v>7</v>
      </c>
      <c r="P59" s="68" t="s">
        <v>91</v>
      </c>
      <c r="Q59" s="69" t="s">
        <v>12</v>
      </c>
      <c r="R59" s="69" t="s">
        <v>171</v>
      </c>
      <c r="S59" s="75">
        <f>0+3+2+0+0</f>
        <v>5</v>
      </c>
      <c r="T59" s="76">
        <f t="shared" si="0"/>
        <v>5.208333333333333E-3</v>
      </c>
      <c r="U59" s="78">
        <f t="shared" si="1"/>
        <v>-5.2574953720277815</v>
      </c>
      <c r="V59" s="76">
        <f t="shared" si="2"/>
        <v>-2.7382788395978026E-2</v>
      </c>
      <c r="W59" s="82">
        <f t="shared" si="3"/>
        <v>2.712673611111111E-5</v>
      </c>
    </row>
    <row r="60" spans="3:23" x14ac:dyDescent="0.25">
      <c r="C60" s="10"/>
      <c r="D60" s="69"/>
      <c r="E60" s="134"/>
      <c r="N60" s="73">
        <v>20</v>
      </c>
      <c r="O60" s="75" t="s">
        <v>7</v>
      </c>
      <c r="P60" s="68" t="s">
        <v>91</v>
      </c>
      <c r="Q60" s="69" t="s">
        <v>12</v>
      </c>
      <c r="R60" s="69" t="s">
        <v>172</v>
      </c>
      <c r="S60" s="75">
        <f>16+10+16+34+26</f>
        <v>102</v>
      </c>
      <c r="T60" s="76">
        <f t="shared" si="0"/>
        <v>0.10625</v>
      </c>
      <c r="U60" s="78">
        <f t="shared" si="1"/>
        <v>-2.2419604711776109</v>
      </c>
      <c r="V60" s="76">
        <f t="shared" si="2"/>
        <v>-0.23820830006262114</v>
      </c>
      <c r="W60" s="82">
        <f t="shared" si="3"/>
        <v>1.1289062499999999E-2</v>
      </c>
    </row>
    <row r="61" spans="3:23" x14ac:dyDescent="0.25">
      <c r="C61" s="10"/>
      <c r="D61" s="69"/>
      <c r="E61" s="134"/>
      <c r="N61" s="73">
        <v>21</v>
      </c>
      <c r="O61" s="75" t="s">
        <v>7</v>
      </c>
      <c r="P61" s="68" t="s">
        <v>91</v>
      </c>
      <c r="Q61" s="69" t="s">
        <v>36</v>
      </c>
      <c r="R61" s="68" t="s">
        <v>67</v>
      </c>
      <c r="S61" s="75">
        <f>4+4+0+0+0</f>
        <v>8</v>
      </c>
      <c r="T61" s="76">
        <f t="shared" si="0"/>
        <v>8.3333333333333332E-3</v>
      </c>
      <c r="U61" s="78">
        <f t="shared" si="1"/>
        <v>-4.7874917427820458</v>
      </c>
      <c r="V61" s="76">
        <f t="shared" si="2"/>
        <v>-3.9895764523183712E-2</v>
      </c>
      <c r="W61" s="82">
        <f t="shared" si="3"/>
        <v>6.9444444444444444E-5</v>
      </c>
    </row>
    <row r="62" spans="3:23" ht="15.75" x14ac:dyDescent="0.25">
      <c r="C62" s="10"/>
      <c r="D62" s="8"/>
      <c r="E62" s="134"/>
      <c r="N62" s="73">
        <v>22</v>
      </c>
      <c r="O62" s="74" t="s">
        <v>159</v>
      </c>
      <c r="P62" s="68" t="s">
        <v>96</v>
      </c>
      <c r="Q62" s="68" t="s">
        <v>35</v>
      </c>
      <c r="R62" s="70" t="s">
        <v>173</v>
      </c>
      <c r="S62" s="75">
        <f>2+0+0+0+0</f>
        <v>2</v>
      </c>
      <c r="T62" s="76">
        <f t="shared" si="0"/>
        <v>2.0833333333333333E-3</v>
      </c>
      <c r="U62" s="78">
        <f t="shared" si="1"/>
        <v>-6.1737861039019366</v>
      </c>
      <c r="V62" s="76">
        <f t="shared" si="2"/>
        <v>-1.2862054383129035E-2</v>
      </c>
      <c r="W62" s="82">
        <f t="shared" si="3"/>
        <v>4.3402777777777778E-6</v>
      </c>
    </row>
    <row r="63" spans="3:23" ht="15.75" x14ac:dyDescent="0.25">
      <c r="C63" s="10"/>
      <c r="D63" s="8"/>
      <c r="E63" s="134"/>
      <c r="N63" s="73">
        <v>23</v>
      </c>
      <c r="O63" s="75" t="s">
        <v>28</v>
      </c>
      <c r="P63" s="69" t="s">
        <v>92</v>
      </c>
      <c r="Q63" s="69" t="s">
        <v>59</v>
      </c>
      <c r="R63" s="69" t="s">
        <v>67</v>
      </c>
      <c r="S63" s="75">
        <f>0+1+0+0+0</f>
        <v>1</v>
      </c>
      <c r="T63" s="76">
        <f t="shared" si="0"/>
        <v>1.0416666666666667E-3</v>
      </c>
      <c r="U63" s="78">
        <f t="shared" si="1"/>
        <v>-6.866933284461882</v>
      </c>
      <c r="V63" s="76">
        <f t="shared" si="2"/>
        <v>-7.1530555046477933E-3</v>
      </c>
      <c r="W63" s="82">
        <f t="shared" si="3"/>
        <v>1.0850694444444444E-6</v>
      </c>
    </row>
    <row r="64" spans="3:23" x14ac:dyDescent="0.25">
      <c r="E64" s="89"/>
      <c r="N64" s="73">
        <v>24</v>
      </c>
      <c r="O64" s="75" t="s">
        <v>7</v>
      </c>
      <c r="P64" s="69" t="s">
        <v>94</v>
      </c>
      <c r="Q64" s="69" t="s">
        <v>57</v>
      </c>
      <c r="R64" s="69" t="s">
        <v>174</v>
      </c>
      <c r="S64" s="75">
        <f>0+3+4+0+0</f>
        <v>7</v>
      </c>
      <c r="T64" s="76">
        <f t="shared" si="0"/>
        <v>7.2916666666666668E-3</v>
      </c>
      <c r="U64" s="78">
        <f t="shared" si="1"/>
        <v>-4.9210231354065685</v>
      </c>
      <c r="V64" s="76">
        <f t="shared" si="2"/>
        <v>-3.5882460362339566E-2</v>
      </c>
      <c r="W64" s="82">
        <f t="shared" si="3"/>
        <v>5.3168402777777781E-5</v>
      </c>
    </row>
    <row r="65" spans="5:23" x14ac:dyDescent="0.25">
      <c r="N65" s="73">
        <v>25</v>
      </c>
      <c r="O65" s="73" t="s">
        <v>28</v>
      </c>
      <c r="P65" s="69" t="s">
        <v>95</v>
      </c>
      <c r="Q65" s="69" t="s">
        <v>25</v>
      </c>
      <c r="R65" s="69" t="s">
        <v>175</v>
      </c>
      <c r="S65" s="75">
        <f>1+4+5+0+0</f>
        <v>10</v>
      </c>
      <c r="T65" s="76">
        <f t="shared" si="0"/>
        <v>1.0416666666666666E-2</v>
      </c>
      <c r="U65" s="78">
        <f t="shared" si="1"/>
        <v>-4.5643481914678361</v>
      </c>
      <c r="V65" s="76">
        <f t="shared" si="2"/>
        <v>-4.754529366112329E-2</v>
      </c>
      <c r="W65" s="82">
        <f t="shared" si="3"/>
        <v>1.0850694444444444E-4</v>
      </c>
    </row>
    <row r="66" spans="5:23" x14ac:dyDescent="0.25">
      <c r="N66" s="73">
        <v>26</v>
      </c>
      <c r="O66" s="74" t="s">
        <v>28</v>
      </c>
      <c r="P66" s="69" t="s">
        <v>95</v>
      </c>
      <c r="Q66" s="69" t="s">
        <v>25</v>
      </c>
      <c r="R66" s="69" t="s">
        <v>67</v>
      </c>
      <c r="S66" s="75">
        <f>1+0+0+2+0</f>
        <v>3</v>
      </c>
      <c r="T66" s="76">
        <f t="shared" si="0"/>
        <v>3.1250000000000002E-3</v>
      </c>
      <c r="U66" s="78">
        <f t="shared" si="1"/>
        <v>-5.768320995793772</v>
      </c>
      <c r="V66" s="76">
        <f t="shared" si="2"/>
        <v>-1.8026003111855537E-2</v>
      </c>
      <c r="W66" s="82">
        <f t="shared" si="3"/>
        <v>9.7656250000000019E-6</v>
      </c>
    </row>
    <row r="67" spans="5:23" x14ac:dyDescent="0.25">
      <c r="N67" s="73">
        <v>27</v>
      </c>
      <c r="O67" s="73" t="s">
        <v>7</v>
      </c>
      <c r="P67" s="69" t="s">
        <v>93</v>
      </c>
      <c r="Q67" s="69" t="s">
        <v>78</v>
      </c>
      <c r="R67" s="68" t="s">
        <v>67</v>
      </c>
      <c r="S67" s="75">
        <f>3+0+0+0+0</f>
        <v>3</v>
      </c>
      <c r="T67" s="76">
        <f t="shared" si="0"/>
        <v>3.1250000000000002E-3</v>
      </c>
      <c r="U67" s="78">
        <f t="shared" si="1"/>
        <v>-5.768320995793772</v>
      </c>
      <c r="V67" s="76">
        <f t="shared" si="2"/>
        <v>-1.8026003111855537E-2</v>
      </c>
      <c r="W67" s="82">
        <f t="shared" si="3"/>
        <v>9.7656250000000019E-6</v>
      </c>
    </row>
    <row r="68" spans="5:23" x14ac:dyDescent="0.25">
      <c r="N68" s="73">
        <v>28</v>
      </c>
      <c r="O68" s="73" t="s">
        <v>7</v>
      </c>
      <c r="P68" s="69" t="s">
        <v>93</v>
      </c>
      <c r="Q68" s="69" t="s">
        <v>11</v>
      </c>
      <c r="R68" s="69" t="s">
        <v>176</v>
      </c>
      <c r="S68" s="75">
        <f>7+0+12+9+3</f>
        <v>31</v>
      </c>
      <c r="T68" s="76">
        <f t="shared" si="0"/>
        <v>3.229166666666667E-2</v>
      </c>
      <c r="U68" s="78">
        <f t="shared" si="1"/>
        <v>-3.4329460799767357</v>
      </c>
      <c r="V68" s="76">
        <f t="shared" si="2"/>
        <v>-0.11085555049924876</v>
      </c>
      <c r="W68" s="82">
        <f t="shared" si="3"/>
        <v>1.0427517361111113E-3</v>
      </c>
    </row>
    <row r="69" spans="5:23" x14ac:dyDescent="0.25">
      <c r="N69" s="73">
        <v>29</v>
      </c>
      <c r="O69" s="73" t="s">
        <v>7</v>
      </c>
      <c r="P69" s="69" t="s">
        <v>93</v>
      </c>
      <c r="Q69" s="69" t="s">
        <v>11</v>
      </c>
      <c r="R69" s="69" t="s">
        <v>67</v>
      </c>
      <c r="S69" s="75">
        <f>10+1+9+28+41</f>
        <v>89</v>
      </c>
      <c r="T69" s="76">
        <f>S69/960</f>
        <v>9.2708333333333337E-2</v>
      </c>
      <c r="U69" s="78">
        <f>LN(T69)</f>
        <v>-2.3782969147297419</v>
      </c>
      <c r="V69" s="76">
        <f>T69*U69</f>
        <v>-0.22048794313640316</v>
      </c>
      <c r="W69" s="82">
        <f>T69^2</f>
        <v>8.5948350694444453E-3</v>
      </c>
    </row>
    <row r="70" spans="5:23" x14ac:dyDescent="0.25">
      <c r="N70" s="73">
        <v>30</v>
      </c>
      <c r="O70" s="75" t="s">
        <v>19</v>
      </c>
      <c r="P70" s="69" t="s">
        <v>164</v>
      </c>
      <c r="Q70" s="69" t="s">
        <v>163</v>
      </c>
      <c r="R70" s="69" t="s">
        <v>67</v>
      </c>
      <c r="S70" s="75">
        <f>0+0+13+0+0</f>
        <v>13</v>
      </c>
      <c r="T70" s="76">
        <f>S70/960</f>
        <v>1.3541666666666667E-2</v>
      </c>
      <c r="U70" s="78">
        <f>LN(T70)</f>
        <v>-4.3019839270003448</v>
      </c>
      <c r="V70" s="76">
        <f>T70*U70</f>
        <v>-5.8256032344796337E-2</v>
      </c>
      <c r="W70" s="82">
        <f>T70^2</f>
        <v>1.8337673611111113E-4</v>
      </c>
    </row>
    <row r="71" spans="5:23" x14ac:dyDescent="0.25">
      <c r="E71" s="88"/>
      <c r="N71" s="143"/>
      <c r="O71" s="175" t="s">
        <v>82</v>
      </c>
      <c r="P71" s="175"/>
      <c r="Q71" s="175"/>
      <c r="R71" s="175"/>
      <c r="S71" s="143">
        <f>SUM(S41:S70)</f>
        <v>960</v>
      </c>
      <c r="T71" s="77">
        <f t="shared" si="0"/>
        <v>1</v>
      </c>
      <c r="U71" s="79">
        <f>SUM(U41:U69)</f>
        <v>-127.84789568360182</v>
      </c>
      <c r="V71" s="79">
        <f>SUM(V41:V69)</f>
        <v>-2.5229736431854652</v>
      </c>
      <c r="W71" s="79">
        <f>SUM(W41:W69)</f>
        <v>0.10784830729166665</v>
      </c>
    </row>
    <row r="72" spans="5:23" x14ac:dyDescent="0.25">
      <c r="E72" s="88"/>
      <c r="N72" s="176" t="s">
        <v>83</v>
      </c>
      <c r="O72" s="176"/>
      <c r="P72" s="176"/>
      <c r="Q72" s="176"/>
      <c r="R72" s="176"/>
      <c r="S72" s="140"/>
      <c r="T72" s="140"/>
      <c r="U72" s="140"/>
      <c r="V72" s="145">
        <f>-(V71)</f>
        <v>2.5229736431854652</v>
      </c>
      <c r="W72" s="140"/>
    </row>
    <row r="73" spans="5:23" x14ac:dyDescent="0.25">
      <c r="E73" s="88"/>
      <c r="N73" s="173" t="s">
        <v>84</v>
      </c>
      <c r="O73" s="173"/>
      <c r="P73" s="173"/>
      <c r="Q73" s="173"/>
      <c r="R73" s="173"/>
      <c r="S73" s="141"/>
      <c r="T73" s="141"/>
      <c r="U73" s="141"/>
      <c r="V73" s="144">
        <f>V72/LN(30)</f>
        <v>0.74178983460010051</v>
      </c>
      <c r="W73" s="141"/>
    </row>
    <row r="74" spans="5:23" x14ac:dyDescent="0.25">
      <c r="E74" s="88"/>
      <c r="N74" s="174" t="s">
        <v>85</v>
      </c>
      <c r="O74" s="174"/>
      <c r="P74" s="174"/>
      <c r="Q74" s="174"/>
      <c r="R74" s="174"/>
      <c r="S74" s="142"/>
      <c r="T74" s="142"/>
      <c r="U74" s="142"/>
      <c r="V74" s="146">
        <v>0.11</v>
      </c>
      <c r="W74" s="142"/>
    </row>
    <row r="75" spans="5:23" x14ac:dyDescent="0.25">
      <c r="N75" s="174" t="s">
        <v>85</v>
      </c>
      <c r="O75" s="174"/>
      <c r="P75" s="174"/>
      <c r="Q75" s="174"/>
      <c r="R75" s="174"/>
      <c r="S75" s="71"/>
      <c r="T75" s="71"/>
      <c r="U75" s="71"/>
      <c r="V75" s="81">
        <v>0.11</v>
      </c>
      <c r="W75" s="71"/>
    </row>
    <row r="85" spans="2:25" x14ac:dyDescent="0.25">
      <c r="D85" t="s">
        <v>150</v>
      </c>
    </row>
    <row r="87" spans="2:25" x14ac:dyDescent="0.25">
      <c r="D87" t="s">
        <v>106</v>
      </c>
      <c r="E87" t="s">
        <v>107</v>
      </c>
      <c r="F87" t="s">
        <v>109</v>
      </c>
      <c r="G87" t="s">
        <v>110</v>
      </c>
      <c r="H87" t="s">
        <v>111</v>
      </c>
      <c r="I87" t="s">
        <v>147</v>
      </c>
      <c r="L87" t="s">
        <v>106</v>
      </c>
      <c r="M87" t="s">
        <v>107</v>
      </c>
      <c r="N87" t="s">
        <v>109</v>
      </c>
      <c r="O87" t="s">
        <v>110</v>
      </c>
      <c r="P87" t="s">
        <v>111</v>
      </c>
      <c r="Q87" t="s">
        <v>147</v>
      </c>
    </row>
    <row r="88" spans="2:25" ht="15.75" x14ac:dyDescent="0.25">
      <c r="B88" s="68" t="s">
        <v>89</v>
      </c>
      <c r="C88" s="68" t="s">
        <v>101</v>
      </c>
      <c r="D88">
        <v>1</v>
      </c>
      <c r="E88">
        <v>1</v>
      </c>
      <c r="F88">
        <v>3</v>
      </c>
      <c r="G88">
        <v>2</v>
      </c>
      <c r="H88">
        <v>1</v>
      </c>
      <c r="I88">
        <f>SUM(D88:H88)</f>
        <v>8</v>
      </c>
      <c r="K88" s="21" t="s">
        <v>91</v>
      </c>
      <c r="L88" s="88">
        <f t="shared" ref="L88:Q88" si="4">SUM(D94:D110)/S89</f>
        <v>0.14895833333333333</v>
      </c>
      <c r="M88" s="88">
        <f t="shared" si="4"/>
        <v>0.29375000000000001</v>
      </c>
      <c r="N88" s="88">
        <f t="shared" si="4"/>
        <v>0.12916666666666668</v>
      </c>
      <c r="O88" s="88">
        <f t="shared" si="4"/>
        <v>9.166666666666666E-2</v>
      </c>
      <c r="P88" s="88">
        <f t="shared" si="4"/>
        <v>0.11354166666666667</v>
      </c>
      <c r="Q88" s="88">
        <f t="shared" si="4"/>
        <v>0.77708333333333335</v>
      </c>
      <c r="S88" s="24">
        <v>960</v>
      </c>
      <c r="T88" s="24">
        <v>960</v>
      </c>
      <c r="U88" s="24">
        <v>960</v>
      </c>
      <c r="V88" s="24">
        <v>960</v>
      </c>
      <c r="W88" s="24">
        <v>960</v>
      </c>
      <c r="X88" s="24">
        <v>960</v>
      </c>
      <c r="Y88" s="24">
        <v>960</v>
      </c>
    </row>
    <row r="89" spans="2:25" ht="15.75" x14ac:dyDescent="0.25">
      <c r="B89" s="68" t="s">
        <v>89</v>
      </c>
      <c r="C89" s="68" t="s">
        <v>112</v>
      </c>
      <c r="D89">
        <v>1</v>
      </c>
      <c r="E89">
        <v>0</v>
      </c>
      <c r="F89">
        <v>0</v>
      </c>
      <c r="G89">
        <v>0</v>
      </c>
      <c r="H89">
        <v>0</v>
      </c>
      <c r="I89">
        <f t="shared" ref="I89:I119" si="5">SUM(D89:H89)</f>
        <v>1</v>
      </c>
      <c r="K89" s="8" t="s">
        <v>93</v>
      </c>
      <c r="L89" s="88">
        <f t="shared" ref="L89:Q89" si="6">SUM(D117:D118)/S94</f>
        <v>0.05</v>
      </c>
      <c r="M89" s="88">
        <f t="shared" si="6"/>
        <v>2.9166666666666667E-2</v>
      </c>
      <c r="N89" s="88">
        <f t="shared" si="6"/>
        <v>2.1874999999999999E-2</v>
      </c>
      <c r="O89" s="88">
        <f t="shared" si="6"/>
        <v>1.0416666666666666E-2</v>
      </c>
      <c r="P89" s="88">
        <f t="shared" si="6"/>
        <v>1.3541666666666667E-2</v>
      </c>
      <c r="Q89" s="88">
        <f t="shared" si="6"/>
        <v>0.125</v>
      </c>
      <c r="S89" s="24">
        <v>960</v>
      </c>
      <c r="T89" s="24">
        <v>960</v>
      </c>
      <c r="U89" s="24">
        <v>960</v>
      </c>
      <c r="V89" s="24">
        <v>960</v>
      </c>
      <c r="W89" s="24">
        <v>960</v>
      </c>
      <c r="X89" s="24">
        <v>960</v>
      </c>
      <c r="Y89" s="24">
        <v>960</v>
      </c>
    </row>
    <row r="90" spans="2:25" ht="15.75" x14ac:dyDescent="0.25">
      <c r="B90" s="68" t="s">
        <v>89</v>
      </c>
      <c r="C90" s="69" t="s">
        <v>64</v>
      </c>
      <c r="D90">
        <v>6</v>
      </c>
      <c r="E90">
        <v>3</v>
      </c>
      <c r="F90">
        <v>7</v>
      </c>
      <c r="G90">
        <v>0</v>
      </c>
      <c r="H90">
        <v>0</v>
      </c>
      <c r="I90">
        <f t="shared" si="5"/>
        <v>16</v>
      </c>
      <c r="K90" s="21" t="s">
        <v>89</v>
      </c>
      <c r="L90" s="88">
        <f>SUM(D88:D93)/S88</f>
        <v>1.2500000000000001E-2</v>
      </c>
      <c r="M90" s="88">
        <f>SUM(E88:E93)/S88</f>
        <v>7.2916666666666668E-3</v>
      </c>
      <c r="N90" s="88">
        <f>SUM(F88:F93)/S88</f>
        <v>4.791666666666667E-2</v>
      </c>
      <c r="O90" s="88">
        <f>SUM(G88:G93)/S88</f>
        <v>2.0833333333333333E-3</v>
      </c>
      <c r="P90" s="88">
        <f>SUM(H88:H93)/S88</f>
        <v>1.0416666666666667E-3</v>
      </c>
      <c r="Q90" s="88">
        <f>SUM(I88:I93)/S88</f>
        <v>7.0833333333333331E-2</v>
      </c>
      <c r="S90" s="24">
        <v>960</v>
      </c>
      <c r="T90" s="24">
        <v>960</v>
      </c>
      <c r="U90" s="24">
        <v>960</v>
      </c>
      <c r="V90" s="24">
        <v>960</v>
      </c>
      <c r="W90" s="24">
        <v>960</v>
      </c>
      <c r="X90" s="24">
        <v>960</v>
      </c>
      <c r="Y90" s="24">
        <v>960</v>
      </c>
    </row>
    <row r="91" spans="2:25" ht="15.75" x14ac:dyDescent="0.25">
      <c r="B91" s="69" t="s">
        <v>89</v>
      </c>
      <c r="C91" s="69" t="s">
        <v>102</v>
      </c>
      <c r="D91">
        <v>0</v>
      </c>
      <c r="E91">
        <v>3</v>
      </c>
      <c r="F91">
        <v>10</v>
      </c>
      <c r="G91">
        <v>0</v>
      </c>
      <c r="H91">
        <v>0</v>
      </c>
      <c r="I91">
        <f t="shared" si="5"/>
        <v>13</v>
      </c>
      <c r="K91" s="8" t="s">
        <v>94</v>
      </c>
      <c r="L91" s="88">
        <f t="shared" ref="L91:Q91" si="7">SUM(D113)/S92</f>
        <v>0</v>
      </c>
      <c r="M91" s="88">
        <f t="shared" si="7"/>
        <v>3.1250000000000002E-3</v>
      </c>
      <c r="N91" s="88">
        <f t="shared" si="7"/>
        <v>4.1666666666666666E-3</v>
      </c>
      <c r="O91" s="88">
        <f t="shared" si="7"/>
        <v>0</v>
      </c>
      <c r="P91" s="88">
        <f t="shared" si="7"/>
        <v>0</v>
      </c>
      <c r="Q91" s="88">
        <f t="shared" si="7"/>
        <v>7.2916666666666668E-3</v>
      </c>
      <c r="S91" s="24">
        <v>960</v>
      </c>
      <c r="T91" s="24">
        <v>960</v>
      </c>
      <c r="U91" s="24">
        <v>960</v>
      </c>
      <c r="V91" s="24">
        <v>960</v>
      </c>
      <c r="W91" s="24">
        <v>960</v>
      </c>
      <c r="X91" s="24">
        <v>960</v>
      </c>
      <c r="Y91" s="24">
        <v>960</v>
      </c>
    </row>
    <row r="92" spans="2:25" ht="15.75" x14ac:dyDescent="0.25">
      <c r="B92" s="69" t="s">
        <v>89</v>
      </c>
      <c r="C92" s="68" t="s">
        <v>113</v>
      </c>
      <c r="D92">
        <v>4</v>
      </c>
      <c r="E92">
        <v>0</v>
      </c>
      <c r="F92">
        <v>13</v>
      </c>
      <c r="G92">
        <v>0</v>
      </c>
      <c r="H92">
        <v>0</v>
      </c>
      <c r="I92">
        <f t="shared" si="5"/>
        <v>17</v>
      </c>
      <c r="K92" s="8" t="s">
        <v>95</v>
      </c>
      <c r="L92" s="88">
        <f t="shared" ref="L92:Q92" si="8">SUM(D114:D115)/S93</f>
        <v>2.0833333333333333E-3</v>
      </c>
      <c r="M92" s="88">
        <f t="shared" si="8"/>
        <v>4.1666666666666666E-3</v>
      </c>
      <c r="N92" s="88">
        <f t="shared" si="8"/>
        <v>5.208333333333333E-3</v>
      </c>
      <c r="O92" s="88">
        <f t="shared" si="8"/>
        <v>2.0833333333333333E-3</v>
      </c>
      <c r="P92" s="88">
        <f t="shared" si="8"/>
        <v>0</v>
      </c>
      <c r="Q92" s="88">
        <f t="shared" si="8"/>
        <v>1.3541666666666667E-2</v>
      </c>
      <c r="S92" s="24">
        <v>960</v>
      </c>
      <c r="T92" s="24">
        <v>960</v>
      </c>
      <c r="U92" s="24">
        <v>960</v>
      </c>
      <c r="V92" s="24">
        <v>960</v>
      </c>
      <c r="W92" s="24">
        <v>960</v>
      </c>
      <c r="X92" s="24">
        <v>960</v>
      </c>
      <c r="Y92" s="24">
        <v>960</v>
      </c>
    </row>
    <row r="93" spans="2:25" ht="15.75" x14ac:dyDescent="0.25">
      <c r="B93" s="69" t="s">
        <v>89</v>
      </c>
      <c r="C93" s="69" t="s">
        <v>114</v>
      </c>
      <c r="D93">
        <v>0</v>
      </c>
      <c r="E93">
        <v>0</v>
      </c>
      <c r="F93">
        <v>13</v>
      </c>
      <c r="G93">
        <v>0</v>
      </c>
      <c r="H93">
        <v>0</v>
      </c>
      <c r="I93">
        <f t="shared" si="5"/>
        <v>13</v>
      </c>
      <c r="K93" s="8" t="s">
        <v>96</v>
      </c>
      <c r="L93" s="88">
        <f t="shared" ref="L93:Q94" si="9">SUM(D111)/S90</f>
        <v>2.0833333333333333E-3</v>
      </c>
      <c r="M93" s="88">
        <f t="shared" si="9"/>
        <v>0</v>
      </c>
      <c r="N93" s="88">
        <f t="shared" si="9"/>
        <v>0</v>
      </c>
      <c r="O93" s="88">
        <f t="shared" si="9"/>
        <v>0</v>
      </c>
      <c r="P93" s="88">
        <f t="shared" si="9"/>
        <v>0</v>
      </c>
      <c r="Q93" s="88">
        <f t="shared" si="9"/>
        <v>2.0833333333333333E-3</v>
      </c>
      <c r="S93" s="24">
        <v>960</v>
      </c>
      <c r="T93" s="24">
        <v>960</v>
      </c>
      <c r="U93" s="24">
        <v>960</v>
      </c>
      <c r="V93" s="24">
        <v>960</v>
      </c>
      <c r="W93" s="24">
        <v>960</v>
      </c>
      <c r="X93" s="24">
        <v>960</v>
      </c>
      <c r="Y93" s="24">
        <v>960</v>
      </c>
    </row>
    <row r="94" spans="2:25" ht="15.75" x14ac:dyDescent="0.25">
      <c r="B94" s="69" t="s">
        <v>91</v>
      </c>
      <c r="C94" s="68" t="s">
        <v>103</v>
      </c>
      <c r="D94">
        <v>7</v>
      </c>
      <c r="E94">
        <v>1</v>
      </c>
      <c r="F94">
        <v>21</v>
      </c>
      <c r="G94">
        <v>4</v>
      </c>
      <c r="H94">
        <v>12</v>
      </c>
      <c r="I94">
        <f t="shared" si="5"/>
        <v>45</v>
      </c>
      <c r="K94" s="8" t="s">
        <v>92</v>
      </c>
      <c r="L94" s="88">
        <f t="shared" si="9"/>
        <v>0</v>
      </c>
      <c r="M94" s="88">
        <f t="shared" si="9"/>
        <v>1.0416666666666667E-3</v>
      </c>
      <c r="N94" s="88">
        <f t="shared" si="9"/>
        <v>0</v>
      </c>
      <c r="O94" s="88">
        <f t="shared" si="9"/>
        <v>0</v>
      </c>
      <c r="P94" s="88">
        <f t="shared" si="9"/>
        <v>0</v>
      </c>
      <c r="Q94" s="88">
        <f t="shared" si="9"/>
        <v>1.0416666666666667E-3</v>
      </c>
      <c r="S94" s="24">
        <v>960</v>
      </c>
      <c r="T94" s="24">
        <v>960</v>
      </c>
      <c r="U94" s="24">
        <v>960</v>
      </c>
      <c r="V94" s="24">
        <v>960</v>
      </c>
      <c r="W94" s="24">
        <v>960</v>
      </c>
      <c r="X94" s="24">
        <v>960</v>
      </c>
      <c r="Y94" s="24">
        <v>960</v>
      </c>
    </row>
    <row r="95" spans="2:25" ht="15.75" x14ac:dyDescent="0.25">
      <c r="B95" s="69" t="s">
        <v>91</v>
      </c>
      <c r="C95" s="68" t="s">
        <v>104</v>
      </c>
      <c r="D95">
        <v>0</v>
      </c>
      <c r="E95">
        <v>5</v>
      </c>
      <c r="F95">
        <v>0</v>
      </c>
      <c r="G95">
        <v>0</v>
      </c>
      <c r="H95">
        <v>0</v>
      </c>
      <c r="I95">
        <f t="shared" si="5"/>
        <v>5</v>
      </c>
      <c r="K95" s="21" t="s">
        <v>145</v>
      </c>
      <c r="L95" s="136">
        <f t="shared" ref="L95:Q95" si="10">SUM(L88:L94)</f>
        <v>0.21562500000000001</v>
      </c>
      <c r="M95" s="136">
        <f t="shared" si="10"/>
        <v>0.33854166666666663</v>
      </c>
      <c r="N95" s="136">
        <f t="shared" si="10"/>
        <v>0.20833333333333337</v>
      </c>
      <c r="O95" s="136">
        <f t="shared" si="10"/>
        <v>0.10625000000000001</v>
      </c>
      <c r="P95" s="136">
        <f t="shared" si="10"/>
        <v>0.12812499999999999</v>
      </c>
      <c r="Q95" s="136">
        <f t="shared" si="10"/>
        <v>0.99687500000000007</v>
      </c>
      <c r="S95" s="24">
        <v>960</v>
      </c>
      <c r="T95" s="24">
        <v>960</v>
      </c>
      <c r="U95" s="24">
        <v>960</v>
      </c>
      <c r="V95" s="24">
        <v>960</v>
      </c>
      <c r="W95" s="24">
        <v>960</v>
      </c>
      <c r="X95" s="24">
        <v>960</v>
      </c>
      <c r="Y95" s="24">
        <v>960</v>
      </c>
    </row>
    <row r="96" spans="2:25" x14ac:dyDescent="0.25">
      <c r="B96" s="68" t="s">
        <v>91</v>
      </c>
      <c r="C96" s="69" t="s">
        <v>37</v>
      </c>
      <c r="D96">
        <v>10</v>
      </c>
      <c r="E96">
        <v>36</v>
      </c>
      <c r="F96">
        <v>29</v>
      </c>
      <c r="G96">
        <v>16</v>
      </c>
      <c r="H96">
        <v>2</v>
      </c>
      <c r="I96">
        <f t="shared" si="5"/>
        <v>93</v>
      </c>
    </row>
    <row r="97" spans="2:9" x14ac:dyDescent="0.25">
      <c r="B97" s="68" t="s">
        <v>91</v>
      </c>
      <c r="C97" s="69" t="s">
        <v>34</v>
      </c>
      <c r="D97">
        <v>1</v>
      </c>
      <c r="E97">
        <v>2</v>
      </c>
      <c r="F97">
        <v>0</v>
      </c>
      <c r="G97">
        <v>0</v>
      </c>
      <c r="H97">
        <v>0</v>
      </c>
      <c r="I97">
        <f t="shared" si="5"/>
        <v>3</v>
      </c>
    </row>
    <row r="98" spans="2:9" x14ac:dyDescent="0.25">
      <c r="B98" s="68" t="s">
        <v>91</v>
      </c>
      <c r="C98" s="69" t="s">
        <v>18</v>
      </c>
      <c r="D98">
        <v>52</v>
      </c>
      <c r="E98">
        <v>97</v>
      </c>
      <c r="F98">
        <v>19</v>
      </c>
      <c r="G98">
        <v>13</v>
      </c>
      <c r="H98">
        <v>32</v>
      </c>
      <c r="I98">
        <f t="shared" si="5"/>
        <v>213</v>
      </c>
    </row>
    <row r="99" spans="2:9" x14ac:dyDescent="0.25">
      <c r="B99" s="69" t="s">
        <v>91</v>
      </c>
      <c r="C99" s="69" t="s">
        <v>30</v>
      </c>
      <c r="D99">
        <v>8</v>
      </c>
      <c r="E99">
        <v>59</v>
      </c>
      <c r="F99">
        <v>7</v>
      </c>
      <c r="G99">
        <v>15</v>
      </c>
      <c r="H99">
        <v>2</v>
      </c>
      <c r="I99">
        <f t="shared" si="5"/>
        <v>91</v>
      </c>
    </row>
    <row r="100" spans="2:9" x14ac:dyDescent="0.25">
      <c r="B100" s="68" t="s">
        <v>91</v>
      </c>
      <c r="C100" s="68" t="s">
        <v>68</v>
      </c>
      <c r="D100">
        <v>34</v>
      </c>
      <c r="E100">
        <v>13</v>
      </c>
      <c r="F100">
        <v>11</v>
      </c>
      <c r="G100">
        <v>17</v>
      </c>
      <c r="H100">
        <v>36</v>
      </c>
      <c r="I100">
        <f t="shared" si="5"/>
        <v>111</v>
      </c>
    </row>
    <row r="101" spans="2:9" x14ac:dyDescent="0.25">
      <c r="B101" s="68" t="s">
        <v>91</v>
      </c>
      <c r="C101" s="68" t="s">
        <v>115</v>
      </c>
      <c r="D101">
        <v>1</v>
      </c>
      <c r="E101">
        <v>2</v>
      </c>
      <c r="F101">
        <v>19</v>
      </c>
      <c r="G101">
        <v>4</v>
      </c>
      <c r="H101">
        <v>4</v>
      </c>
      <c r="I101">
        <f t="shared" si="5"/>
        <v>30</v>
      </c>
    </row>
    <row r="102" spans="2:9" x14ac:dyDescent="0.25">
      <c r="B102" s="68" t="s">
        <v>91</v>
      </c>
      <c r="C102" s="68" t="s">
        <v>116</v>
      </c>
      <c r="D102">
        <v>0</v>
      </c>
      <c r="E102">
        <v>5</v>
      </c>
      <c r="F102">
        <v>0</v>
      </c>
      <c r="G102">
        <v>0</v>
      </c>
      <c r="H102">
        <v>0</v>
      </c>
      <c r="I102">
        <f t="shared" si="5"/>
        <v>5</v>
      </c>
    </row>
    <row r="103" spans="2:9" x14ac:dyDescent="0.25">
      <c r="B103" s="68" t="s">
        <v>91</v>
      </c>
      <c r="C103" s="68" t="s">
        <v>117</v>
      </c>
      <c r="D103">
        <v>0</v>
      </c>
      <c r="E103">
        <v>1</v>
      </c>
      <c r="F103">
        <v>0</v>
      </c>
      <c r="G103">
        <v>4</v>
      </c>
      <c r="H103">
        <v>0</v>
      </c>
      <c r="I103">
        <f t="shared" si="5"/>
        <v>5</v>
      </c>
    </row>
    <row r="104" spans="2:9" x14ac:dyDescent="0.25">
      <c r="B104" s="68" t="s">
        <v>91</v>
      </c>
      <c r="C104" s="68" t="s">
        <v>118</v>
      </c>
      <c r="D104">
        <v>0</v>
      </c>
      <c r="E104">
        <v>2</v>
      </c>
      <c r="F104">
        <v>0</v>
      </c>
      <c r="G104">
        <v>1</v>
      </c>
      <c r="H104">
        <v>4</v>
      </c>
      <c r="I104">
        <f t="shared" si="5"/>
        <v>7</v>
      </c>
    </row>
    <row r="105" spans="2:9" x14ac:dyDescent="0.25">
      <c r="B105" s="68" t="s">
        <v>91</v>
      </c>
      <c r="C105" s="68" t="s">
        <v>119</v>
      </c>
      <c r="D105">
        <v>0</v>
      </c>
      <c r="E105">
        <v>4</v>
      </c>
      <c r="F105">
        <v>0</v>
      </c>
      <c r="G105">
        <v>0</v>
      </c>
      <c r="H105">
        <v>1</v>
      </c>
      <c r="I105">
        <f t="shared" si="5"/>
        <v>5</v>
      </c>
    </row>
    <row r="106" spans="2:9" x14ac:dyDescent="0.25">
      <c r="B106" s="68" t="s">
        <v>91</v>
      </c>
      <c r="C106" s="68" t="s">
        <v>120</v>
      </c>
      <c r="D106">
        <v>0</v>
      </c>
      <c r="E106">
        <v>1</v>
      </c>
      <c r="F106">
        <v>0</v>
      </c>
      <c r="G106">
        <v>4</v>
      </c>
      <c r="H106">
        <v>0</v>
      </c>
      <c r="I106">
        <f t="shared" si="5"/>
        <v>5</v>
      </c>
    </row>
    <row r="107" spans="2:9" x14ac:dyDescent="0.25">
      <c r="B107" s="68" t="s">
        <v>91</v>
      </c>
      <c r="C107" s="68" t="s">
        <v>121</v>
      </c>
      <c r="D107">
        <v>0</v>
      </c>
      <c r="E107">
        <v>13</v>
      </c>
      <c r="F107">
        <v>0</v>
      </c>
      <c r="G107">
        <v>0</v>
      </c>
      <c r="H107">
        <v>0</v>
      </c>
      <c r="I107">
        <f t="shared" si="5"/>
        <v>13</v>
      </c>
    </row>
    <row r="108" spans="2:9" x14ac:dyDescent="0.25">
      <c r="B108" s="68" t="s">
        <v>91</v>
      </c>
      <c r="C108" s="69" t="s">
        <v>55</v>
      </c>
      <c r="D108">
        <v>0</v>
      </c>
      <c r="E108">
        <v>3</v>
      </c>
      <c r="F108">
        <v>2</v>
      </c>
      <c r="G108">
        <v>0</v>
      </c>
      <c r="H108">
        <v>0</v>
      </c>
      <c r="I108">
        <f t="shared" si="5"/>
        <v>5</v>
      </c>
    </row>
    <row r="109" spans="2:9" x14ac:dyDescent="0.25">
      <c r="B109" s="68" t="s">
        <v>91</v>
      </c>
      <c r="C109" s="69" t="s">
        <v>13</v>
      </c>
      <c r="D109">
        <v>26</v>
      </c>
      <c r="E109">
        <v>34</v>
      </c>
      <c r="F109">
        <v>16</v>
      </c>
      <c r="G109">
        <v>10</v>
      </c>
      <c r="H109">
        <v>16</v>
      </c>
      <c r="I109">
        <f t="shared" si="5"/>
        <v>102</v>
      </c>
    </row>
    <row r="110" spans="2:9" x14ac:dyDescent="0.25">
      <c r="B110" s="68" t="s">
        <v>91</v>
      </c>
      <c r="C110" s="68" t="s">
        <v>122</v>
      </c>
      <c r="D110">
        <v>4</v>
      </c>
      <c r="E110">
        <v>4</v>
      </c>
      <c r="F110">
        <v>0</v>
      </c>
      <c r="G110">
        <v>0</v>
      </c>
      <c r="H110">
        <v>0</v>
      </c>
      <c r="I110">
        <f t="shared" si="5"/>
        <v>8</v>
      </c>
    </row>
    <row r="111" spans="2:9" x14ac:dyDescent="0.25">
      <c r="B111" s="68" t="s">
        <v>96</v>
      </c>
      <c r="C111" s="70" t="s">
        <v>97</v>
      </c>
      <c r="D111">
        <v>2</v>
      </c>
      <c r="E111">
        <v>0</v>
      </c>
      <c r="F111">
        <v>0</v>
      </c>
      <c r="G111">
        <v>0</v>
      </c>
      <c r="H111">
        <v>0</v>
      </c>
      <c r="I111">
        <f t="shared" si="5"/>
        <v>2</v>
      </c>
    </row>
    <row r="112" spans="2:9" x14ac:dyDescent="0.25">
      <c r="B112" s="69" t="s">
        <v>92</v>
      </c>
      <c r="C112" s="69" t="s">
        <v>123</v>
      </c>
      <c r="D112">
        <v>0</v>
      </c>
      <c r="E112">
        <v>1</v>
      </c>
      <c r="F112">
        <v>0</v>
      </c>
      <c r="G112">
        <v>0</v>
      </c>
      <c r="H112">
        <v>0</v>
      </c>
      <c r="I112">
        <f t="shared" si="5"/>
        <v>1</v>
      </c>
    </row>
    <row r="113" spans="1:34" x14ac:dyDescent="0.25">
      <c r="B113" s="69" t="s">
        <v>94</v>
      </c>
      <c r="C113" s="69" t="s">
        <v>58</v>
      </c>
      <c r="D113">
        <v>0</v>
      </c>
      <c r="E113">
        <v>3</v>
      </c>
      <c r="F113">
        <v>4</v>
      </c>
      <c r="G113">
        <v>0</v>
      </c>
      <c r="H113">
        <v>0</v>
      </c>
      <c r="I113">
        <f t="shared" si="5"/>
        <v>7</v>
      </c>
    </row>
    <row r="114" spans="1:34" x14ac:dyDescent="0.25">
      <c r="B114" s="69" t="s">
        <v>95</v>
      </c>
      <c r="C114" s="69" t="s">
        <v>69</v>
      </c>
      <c r="D114">
        <v>1</v>
      </c>
      <c r="E114">
        <v>4</v>
      </c>
      <c r="F114">
        <v>5</v>
      </c>
      <c r="G114">
        <v>0</v>
      </c>
      <c r="H114">
        <v>0</v>
      </c>
      <c r="I114">
        <f t="shared" si="5"/>
        <v>10</v>
      </c>
    </row>
    <row r="115" spans="1:34" x14ac:dyDescent="0.25">
      <c r="B115" s="69" t="s">
        <v>95</v>
      </c>
      <c r="C115" s="69" t="s">
        <v>124</v>
      </c>
      <c r="D115">
        <v>1</v>
      </c>
      <c r="E115">
        <v>0</v>
      </c>
      <c r="F115">
        <v>0</v>
      </c>
      <c r="G115">
        <v>2</v>
      </c>
      <c r="H115">
        <v>0</v>
      </c>
      <c r="I115">
        <f t="shared" si="5"/>
        <v>3</v>
      </c>
    </row>
    <row r="116" spans="1:34" x14ac:dyDescent="0.25">
      <c r="B116" s="69" t="s">
        <v>93</v>
      </c>
      <c r="C116" s="68" t="s">
        <v>125</v>
      </c>
      <c r="D116">
        <v>3</v>
      </c>
      <c r="E116">
        <v>0</v>
      </c>
      <c r="F116">
        <v>0</v>
      </c>
      <c r="G116">
        <v>0</v>
      </c>
      <c r="H116">
        <v>0</v>
      </c>
      <c r="I116">
        <f t="shared" si="5"/>
        <v>3</v>
      </c>
    </row>
    <row r="117" spans="1:34" x14ac:dyDescent="0.25">
      <c r="B117" s="69" t="s">
        <v>93</v>
      </c>
      <c r="C117" s="69" t="s">
        <v>60</v>
      </c>
      <c r="D117">
        <v>7</v>
      </c>
      <c r="E117">
        <v>0</v>
      </c>
      <c r="F117">
        <v>12</v>
      </c>
      <c r="G117">
        <v>9</v>
      </c>
      <c r="H117">
        <v>3</v>
      </c>
      <c r="I117">
        <f t="shared" si="5"/>
        <v>31</v>
      </c>
      <c r="M117" s="88"/>
    </row>
    <row r="118" spans="1:34" x14ac:dyDescent="0.25">
      <c r="B118" s="69" t="s">
        <v>93</v>
      </c>
      <c r="C118" s="69" t="s">
        <v>126</v>
      </c>
      <c r="D118">
        <v>41</v>
      </c>
      <c r="E118">
        <v>28</v>
      </c>
      <c r="F118">
        <v>9</v>
      </c>
      <c r="G118">
        <v>1</v>
      </c>
      <c r="H118">
        <v>10</v>
      </c>
      <c r="I118">
        <f t="shared" si="5"/>
        <v>89</v>
      </c>
    </row>
    <row r="119" spans="1:34" x14ac:dyDescent="0.25">
      <c r="D119">
        <f>SUM(D88:D118)</f>
        <v>210</v>
      </c>
      <c r="E119">
        <f>SUM(E88:E118)</f>
        <v>325</v>
      </c>
      <c r="F119">
        <f>SUM(F88:F118)</f>
        <v>200</v>
      </c>
      <c r="G119">
        <f>SUM(G88:G118)</f>
        <v>102</v>
      </c>
      <c r="H119">
        <f>SUM(H88:H118)</f>
        <v>123</v>
      </c>
      <c r="I119">
        <f t="shared" si="5"/>
        <v>960</v>
      </c>
    </row>
    <row r="120" spans="1:34" x14ac:dyDescent="0.25">
      <c r="E120" t="s">
        <v>106</v>
      </c>
      <c r="F120" t="s">
        <v>107</v>
      </c>
      <c r="G120" t="s">
        <v>109</v>
      </c>
      <c r="H120" t="s">
        <v>110</v>
      </c>
      <c r="I120" t="s">
        <v>111</v>
      </c>
      <c r="J120" t="s">
        <v>147</v>
      </c>
      <c r="M120" t="s">
        <v>106</v>
      </c>
      <c r="N120" t="s">
        <v>107</v>
      </c>
      <c r="O120" t="s">
        <v>109</v>
      </c>
      <c r="P120" t="s">
        <v>110</v>
      </c>
      <c r="Q120" t="s">
        <v>111</v>
      </c>
      <c r="R120" t="s">
        <v>147</v>
      </c>
      <c r="U120" s="24" t="s">
        <v>106</v>
      </c>
      <c r="V120" s="24" t="s">
        <v>107</v>
      </c>
      <c r="W120" s="24" t="s">
        <v>109</v>
      </c>
      <c r="X120" t="s">
        <v>110</v>
      </c>
      <c r="Y120" t="s">
        <v>111</v>
      </c>
      <c r="Z120" t="s">
        <v>147</v>
      </c>
      <c r="AB120" s="24"/>
      <c r="AC120" s="24" t="s">
        <v>106</v>
      </c>
      <c r="AD120" s="24" t="s">
        <v>107</v>
      </c>
      <c r="AE120" s="24" t="s">
        <v>109</v>
      </c>
      <c r="AF120" t="s">
        <v>110</v>
      </c>
      <c r="AG120" t="s">
        <v>111</v>
      </c>
      <c r="AH120" t="s">
        <v>147</v>
      </c>
    </row>
    <row r="121" spans="1:34" ht="15.75" x14ac:dyDescent="0.25">
      <c r="A121">
        <v>1</v>
      </c>
      <c r="B121" s="68" t="s">
        <v>89</v>
      </c>
      <c r="C121" s="68" t="s">
        <v>21</v>
      </c>
      <c r="D121" s="68" t="s">
        <v>177</v>
      </c>
      <c r="E121">
        <v>1</v>
      </c>
      <c r="F121">
        <v>0</v>
      </c>
      <c r="G121">
        <v>3</v>
      </c>
      <c r="H121">
        <v>2</v>
      </c>
      <c r="I121">
        <v>1</v>
      </c>
      <c r="J121" s="75">
        <v>7</v>
      </c>
      <c r="L121" s="21" t="s">
        <v>91</v>
      </c>
      <c r="M121">
        <v>9</v>
      </c>
      <c r="N121">
        <v>16</v>
      </c>
      <c r="O121">
        <v>8</v>
      </c>
      <c r="P121">
        <v>10</v>
      </c>
      <c r="Q121">
        <v>9</v>
      </c>
      <c r="R121">
        <v>17</v>
      </c>
      <c r="T121" s="24" t="s">
        <v>91</v>
      </c>
      <c r="U121" s="24">
        <v>143</v>
      </c>
      <c r="V121" s="24">
        <v>285</v>
      </c>
      <c r="W121" s="24">
        <v>134</v>
      </c>
      <c r="X121">
        <v>88</v>
      </c>
      <c r="Y121">
        <v>109</v>
      </c>
      <c r="Z121">
        <v>759</v>
      </c>
      <c r="AB121" s="24" t="s">
        <v>91</v>
      </c>
      <c r="AC121" s="149">
        <f>U121/L131</f>
        <v>0.14895833333333333</v>
      </c>
      <c r="AD121" s="149">
        <f t="shared" ref="AD121:AH129" si="11">V121/M131</f>
        <v>0.296875</v>
      </c>
      <c r="AE121" s="149">
        <f t="shared" si="11"/>
        <v>0.13958333333333334</v>
      </c>
      <c r="AF121" s="149">
        <f t="shared" si="11"/>
        <v>9.166666666666666E-2</v>
      </c>
      <c r="AG121" s="149">
        <f t="shared" si="11"/>
        <v>0.11354166666666667</v>
      </c>
      <c r="AH121" s="149">
        <f t="shared" si="11"/>
        <v>0.79062500000000002</v>
      </c>
    </row>
    <row r="122" spans="1:34" ht="15.75" x14ac:dyDescent="0.25">
      <c r="A122">
        <v>2</v>
      </c>
      <c r="B122" s="68" t="s">
        <v>89</v>
      </c>
      <c r="C122" s="68" t="s">
        <v>21</v>
      </c>
      <c r="D122" s="68" t="s">
        <v>162</v>
      </c>
      <c r="E122">
        <v>1</v>
      </c>
      <c r="F122">
        <v>1</v>
      </c>
      <c r="G122">
        <v>0</v>
      </c>
      <c r="H122">
        <v>0</v>
      </c>
      <c r="I122">
        <v>0</v>
      </c>
      <c r="J122" s="75">
        <v>2</v>
      </c>
      <c r="L122" s="8" t="s">
        <v>93</v>
      </c>
      <c r="M122">
        <v>3</v>
      </c>
      <c r="N122">
        <v>1</v>
      </c>
      <c r="O122">
        <v>2</v>
      </c>
      <c r="P122">
        <v>2</v>
      </c>
      <c r="Q122">
        <v>2</v>
      </c>
      <c r="R122">
        <v>3</v>
      </c>
      <c r="T122" s="24" t="s">
        <v>93</v>
      </c>
      <c r="U122" s="24">
        <v>51</v>
      </c>
      <c r="V122" s="24">
        <v>28</v>
      </c>
      <c r="W122" s="24">
        <v>21</v>
      </c>
      <c r="X122">
        <v>10</v>
      </c>
      <c r="Y122">
        <v>13</v>
      </c>
      <c r="Z122">
        <v>123</v>
      </c>
      <c r="AB122" s="24" t="s">
        <v>93</v>
      </c>
      <c r="AC122" s="149">
        <f t="shared" ref="AC122:AC129" si="12">U122/L132</f>
        <v>5.3124999999999999E-2</v>
      </c>
      <c r="AD122" s="149">
        <f t="shared" si="11"/>
        <v>2.9166666666666667E-2</v>
      </c>
      <c r="AE122" s="149">
        <f t="shared" si="11"/>
        <v>2.1874999999999999E-2</v>
      </c>
      <c r="AF122" s="149">
        <f t="shared" si="11"/>
        <v>1.0416666666666666E-2</v>
      </c>
      <c r="AG122" s="149">
        <f t="shared" si="11"/>
        <v>1.3541666666666667E-2</v>
      </c>
      <c r="AH122" s="149">
        <f t="shared" si="11"/>
        <v>0.12812499999999999</v>
      </c>
    </row>
    <row r="123" spans="1:34" ht="15.75" x14ac:dyDescent="0.25">
      <c r="A123">
        <v>3</v>
      </c>
      <c r="B123" s="69" t="s">
        <v>89</v>
      </c>
      <c r="C123" s="68" t="s">
        <v>26</v>
      </c>
      <c r="D123" s="68" t="s">
        <v>67</v>
      </c>
      <c r="E123">
        <v>4</v>
      </c>
      <c r="F123">
        <v>0</v>
      </c>
      <c r="G123">
        <v>13</v>
      </c>
      <c r="H123">
        <v>0</v>
      </c>
      <c r="I123">
        <v>0</v>
      </c>
      <c r="J123" s="75">
        <f>4+0+13+0+0</f>
        <v>17</v>
      </c>
      <c r="L123" s="21" t="s">
        <v>89</v>
      </c>
      <c r="M123">
        <v>4</v>
      </c>
      <c r="N123">
        <v>2</v>
      </c>
      <c r="O123">
        <v>3</v>
      </c>
      <c r="P123">
        <v>1</v>
      </c>
      <c r="Q123">
        <f>SUM(I121:I124)</f>
        <v>1</v>
      </c>
      <c r="R123">
        <v>4</v>
      </c>
      <c r="T123" s="24" t="s">
        <v>89</v>
      </c>
      <c r="U123" s="24">
        <v>12</v>
      </c>
      <c r="V123" s="24">
        <v>4</v>
      </c>
      <c r="W123" s="24">
        <v>23</v>
      </c>
      <c r="X123">
        <v>2</v>
      </c>
      <c r="Y123">
        <v>1</v>
      </c>
      <c r="Z123">
        <v>42</v>
      </c>
      <c r="AB123" s="24" t="s">
        <v>89</v>
      </c>
      <c r="AC123" s="149">
        <f t="shared" si="12"/>
        <v>1.2500000000000001E-2</v>
      </c>
      <c r="AD123" s="149">
        <f t="shared" si="11"/>
        <v>4.1666666666666666E-3</v>
      </c>
      <c r="AE123" s="149">
        <f t="shared" si="11"/>
        <v>2.3958333333333335E-2</v>
      </c>
      <c r="AF123" s="149">
        <f t="shared" si="11"/>
        <v>2.0833333333333333E-3</v>
      </c>
      <c r="AG123" s="149">
        <f t="shared" si="11"/>
        <v>1.0416666666666667E-3</v>
      </c>
      <c r="AH123" s="149">
        <f t="shared" si="11"/>
        <v>4.3749999999999997E-2</v>
      </c>
    </row>
    <row r="124" spans="1:34" ht="15.75" x14ac:dyDescent="0.25">
      <c r="A124">
        <v>4</v>
      </c>
      <c r="B124" s="68" t="s">
        <v>89</v>
      </c>
      <c r="C124" s="68" t="s">
        <v>29</v>
      </c>
      <c r="D124" s="69" t="s">
        <v>67</v>
      </c>
      <c r="E124">
        <v>6</v>
      </c>
      <c r="F124">
        <v>3</v>
      </c>
      <c r="G124">
        <v>7</v>
      </c>
      <c r="H124">
        <v>0</v>
      </c>
      <c r="I124">
        <v>0</v>
      </c>
      <c r="J124" s="75">
        <f>6+3+7+0+0</f>
        <v>16</v>
      </c>
      <c r="L124" s="8" t="s">
        <v>94</v>
      </c>
      <c r="M124">
        <v>0</v>
      </c>
      <c r="N124">
        <v>1</v>
      </c>
      <c r="O124">
        <v>1</v>
      </c>
      <c r="P124">
        <f>SUM(H144)</f>
        <v>0</v>
      </c>
      <c r="Q124">
        <f>SUM(I144)</f>
        <v>0</v>
      </c>
      <c r="R124">
        <v>1</v>
      </c>
      <c r="T124" s="24" t="s">
        <v>94</v>
      </c>
      <c r="U124" s="24">
        <v>0</v>
      </c>
      <c r="V124" s="24">
        <v>3</v>
      </c>
      <c r="W124" s="24">
        <v>4</v>
      </c>
      <c r="X124">
        <v>0</v>
      </c>
      <c r="Y124">
        <v>0</v>
      </c>
      <c r="Z124">
        <v>7</v>
      </c>
      <c r="AB124" s="24" t="s">
        <v>94</v>
      </c>
      <c r="AC124" s="149">
        <f t="shared" si="12"/>
        <v>0</v>
      </c>
      <c r="AD124" s="149">
        <f t="shared" si="11"/>
        <v>3.1250000000000002E-3</v>
      </c>
      <c r="AE124" s="149">
        <f t="shared" si="11"/>
        <v>4.1666666666666666E-3</v>
      </c>
      <c r="AF124" s="149">
        <f t="shared" si="11"/>
        <v>0</v>
      </c>
      <c r="AG124" s="149">
        <f t="shared" si="11"/>
        <v>0</v>
      </c>
      <c r="AH124" s="149">
        <f t="shared" si="11"/>
        <v>7.2916666666666668E-3</v>
      </c>
    </row>
    <row r="125" spans="1:34" ht="15.75" x14ac:dyDescent="0.25">
      <c r="A125">
        <v>5</v>
      </c>
      <c r="B125" s="69" t="s">
        <v>91</v>
      </c>
      <c r="C125" s="69" t="s">
        <v>20</v>
      </c>
      <c r="D125" s="68" t="s">
        <v>165</v>
      </c>
      <c r="E125">
        <v>7</v>
      </c>
      <c r="F125">
        <v>4</v>
      </c>
      <c r="G125">
        <v>31</v>
      </c>
      <c r="H125">
        <v>4</v>
      </c>
      <c r="I125">
        <v>12</v>
      </c>
      <c r="J125" s="75">
        <f>7+1+21+4+12+13</f>
        <v>58</v>
      </c>
      <c r="L125" s="8" t="s">
        <v>95</v>
      </c>
      <c r="M125">
        <f>SUM(E145:E146)</f>
        <v>2</v>
      </c>
      <c r="N125">
        <v>1</v>
      </c>
      <c r="O125">
        <v>1</v>
      </c>
      <c r="P125">
        <v>1</v>
      </c>
      <c r="Q125">
        <f>SUM(I145:I146)</f>
        <v>0</v>
      </c>
      <c r="R125">
        <v>2</v>
      </c>
      <c r="T125" s="24" t="s">
        <v>95</v>
      </c>
      <c r="U125" s="24">
        <v>2</v>
      </c>
      <c r="V125" s="24">
        <v>4</v>
      </c>
      <c r="W125" s="24">
        <v>5</v>
      </c>
      <c r="X125">
        <v>2</v>
      </c>
      <c r="Y125">
        <v>0</v>
      </c>
      <c r="Z125">
        <v>13</v>
      </c>
      <c r="AB125" s="24" t="s">
        <v>95</v>
      </c>
      <c r="AC125" s="149">
        <f t="shared" si="12"/>
        <v>2.0833333333333333E-3</v>
      </c>
      <c r="AD125" s="149">
        <f t="shared" si="11"/>
        <v>4.1666666666666666E-3</v>
      </c>
      <c r="AE125" s="149">
        <f t="shared" si="11"/>
        <v>5.208333333333333E-3</v>
      </c>
      <c r="AF125" s="149">
        <f t="shared" si="11"/>
        <v>2.0833333333333333E-3</v>
      </c>
      <c r="AG125" s="149">
        <f t="shared" si="11"/>
        <v>0</v>
      </c>
      <c r="AH125" s="149">
        <f t="shared" si="11"/>
        <v>1.3541666666666667E-2</v>
      </c>
    </row>
    <row r="126" spans="1:34" ht="15.75" x14ac:dyDescent="0.25">
      <c r="A126">
        <v>6</v>
      </c>
      <c r="B126" s="69" t="s">
        <v>91</v>
      </c>
      <c r="C126" s="69" t="s">
        <v>20</v>
      </c>
      <c r="D126" s="68" t="s">
        <v>166</v>
      </c>
      <c r="E126">
        <v>0</v>
      </c>
      <c r="F126">
        <v>5</v>
      </c>
      <c r="G126">
        <v>0</v>
      </c>
      <c r="H126">
        <v>0</v>
      </c>
      <c r="I126">
        <v>0</v>
      </c>
      <c r="J126" s="75">
        <f>0+5+0+0+0</f>
        <v>5</v>
      </c>
      <c r="L126" s="8" t="s">
        <v>96</v>
      </c>
      <c r="M126">
        <v>1</v>
      </c>
      <c r="N126">
        <f t="shared" ref="N126:Q127" si="13">SUM(F142)</f>
        <v>0</v>
      </c>
      <c r="O126">
        <f t="shared" si="13"/>
        <v>0</v>
      </c>
      <c r="P126">
        <f t="shared" si="13"/>
        <v>0</v>
      </c>
      <c r="Q126">
        <f t="shared" si="13"/>
        <v>0</v>
      </c>
      <c r="R126">
        <v>1</v>
      </c>
      <c r="T126" s="24" t="s">
        <v>96</v>
      </c>
      <c r="U126" s="24">
        <v>2</v>
      </c>
      <c r="V126" s="24">
        <v>0</v>
      </c>
      <c r="W126" s="24">
        <v>0</v>
      </c>
      <c r="X126">
        <v>0</v>
      </c>
      <c r="Y126">
        <v>0</v>
      </c>
      <c r="Z126">
        <v>2</v>
      </c>
      <c r="AB126" s="24" t="s">
        <v>96</v>
      </c>
      <c r="AC126" s="149">
        <f t="shared" si="12"/>
        <v>2.0833333333333333E-3</v>
      </c>
      <c r="AD126" s="149">
        <f t="shared" si="11"/>
        <v>0</v>
      </c>
      <c r="AE126" s="149">
        <f t="shared" si="11"/>
        <v>0</v>
      </c>
      <c r="AF126" s="149">
        <f t="shared" si="11"/>
        <v>0</v>
      </c>
      <c r="AG126" s="149">
        <f t="shared" si="11"/>
        <v>0</v>
      </c>
      <c r="AH126" s="149">
        <f t="shared" si="11"/>
        <v>2.0833333333333333E-3</v>
      </c>
    </row>
    <row r="127" spans="1:34" ht="15.75" x14ac:dyDescent="0.25">
      <c r="A127">
        <v>7</v>
      </c>
      <c r="B127" s="68" t="s">
        <v>91</v>
      </c>
      <c r="C127" s="69" t="s">
        <v>8</v>
      </c>
      <c r="D127" s="69" t="s">
        <v>167</v>
      </c>
      <c r="E127">
        <v>10</v>
      </c>
      <c r="F127">
        <v>36</v>
      </c>
      <c r="G127">
        <v>29</v>
      </c>
      <c r="H127">
        <v>16</v>
      </c>
      <c r="I127">
        <v>2</v>
      </c>
      <c r="J127" s="75">
        <f>10+36+29+16+2</f>
        <v>93</v>
      </c>
      <c r="L127" s="8" t="s">
        <v>92</v>
      </c>
      <c r="M127">
        <f>SUM(E143)</f>
        <v>0</v>
      </c>
      <c r="N127">
        <f t="shared" si="13"/>
        <v>1</v>
      </c>
      <c r="O127">
        <f t="shared" si="13"/>
        <v>0</v>
      </c>
      <c r="P127">
        <f t="shared" si="13"/>
        <v>0</v>
      </c>
      <c r="Q127">
        <f t="shared" si="13"/>
        <v>0</v>
      </c>
      <c r="R127">
        <v>1</v>
      </c>
      <c r="T127" s="24" t="s">
        <v>92</v>
      </c>
      <c r="U127" s="24">
        <v>0</v>
      </c>
      <c r="V127" s="24">
        <v>1</v>
      </c>
      <c r="W127" s="24">
        <v>0</v>
      </c>
      <c r="X127">
        <v>0</v>
      </c>
      <c r="Y127">
        <v>0</v>
      </c>
      <c r="Z127">
        <v>1</v>
      </c>
      <c r="AB127" s="24" t="s">
        <v>92</v>
      </c>
      <c r="AC127" s="149">
        <f t="shared" si="12"/>
        <v>0</v>
      </c>
      <c r="AD127" s="149">
        <f t="shared" si="11"/>
        <v>1.0416666666666667E-3</v>
      </c>
      <c r="AE127" s="149">
        <f t="shared" si="11"/>
        <v>0</v>
      </c>
      <c r="AF127" s="149">
        <f t="shared" si="11"/>
        <v>0</v>
      </c>
      <c r="AG127" s="149">
        <f t="shared" si="11"/>
        <v>0</v>
      </c>
      <c r="AH127" s="149">
        <f t="shared" si="11"/>
        <v>1.0416666666666667E-3</v>
      </c>
    </row>
    <row r="128" spans="1:34" x14ac:dyDescent="0.25">
      <c r="A128">
        <v>8</v>
      </c>
      <c r="B128" s="68" t="s">
        <v>91</v>
      </c>
      <c r="C128" s="69" t="s">
        <v>8</v>
      </c>
      <c r="D128" s="69" t="s">
        <v>168</v>
      </c>
      <c r="E128">
        <v>1</v>
      </c>
      <c r="F128">
        <v>2</v>
      </c>
      <c r="G128">
        <v>0</v>
      </c>
      <c r="H128">
        <v>0</v>
      </c>
      <c r="I128">
        <v>0</v>
      </c>
      <c r="J128" s="75">
        <f>1+2+0+0+0</f>
        <v>3</v>
      </c>
      <c r="L128" s="69" t="s">
        <v>164</v>
      </c>
      <c r="M128">
        <f>SUM(E150)</f>
        <v>0</v>
      </c>
      <c r="N128">
        <f>SUM(F150)</f>
        <v>0</v>
      </c>
      <c r="O128">
        <v>1</v>
      </c>
      <c r="P128">
        <f>SUM(H150)</f>
        <v>0</v>
      </c>
      <c r="Q128">
        <f>SUM(I150)</f>
        <v>0</v>
      </c>
      <c r="R128">
        <f>SUM(M128:Q128)</f>
        <v>1</v>
      </c>
      <c r="T128" s="24" t="s">
        <v>164</v>
      </c>
      <c r="U128" s="24">
        <v>0</v>
      </c>
      <c r="V128" s="24">
        <v>0</v>
      </c>
      <c r="W128" s="24">
        <v>13</v>
      </c>
      <c r="X128">
        <v>0</v>
      </c>
      <c r="Y128">
        <v>0</v>
      </c>
      <c r="Z128">
        <v>13</v>
      </c>
      <c r="AB128" s="24" t="s">
        <v>187</v>
      </c>
      <c r="AC128" s="149">
        <f t="shared" si="12"/>
        <v>0</v>
      </c>
      <c r="AD128" s="149">
        <f t="shared" si="11"/>
        <v>0</v>
      </c>
      <c r="AE128" s="149">
        <f t="shared" si="11"/>
        <v>1.3541666666666667E-2</v>
      </c>
      <c r="AF128" s="149">
        <f t="shared" si="11"/>
        <v>0</v>
      </c>
      <c r="AG128" s="149">
        <f t="shared" si="11"/>
        <v>0</v>
      </c>
      <c r="AH128" s="149">
        <f t="shared" si="11"/>
        <v>1.3541666666666667E-2</v>
      </c>
    </row>
    <row r="129" spans="1:34" ht="15.75" x14ac:dyDescent="0.25">
      <c r="A129">
        <v>9</v>
      </c>
      <c r="B129" s="68" t="s">
        <v>91</v>
      </c>
      <c r="C129" s="69" t="s">
        <v>8</v>
      </c>
      <c r="D129" s="69" t="s">
        <v>169</v>
      </c>
      <c r="E129">
        <v>52</v>
      </c>
      <c r="F129">
        <v>97</v>
      </c>
      <c r="G129">
        <v>19</v>
      </c>
      <c r="H129">
        <v>13</v>
      </c>
      <c r="I129">
        <v>32</v>
      </c>
      <c r="J129" s="75">
        <f>52+97+19+13+32</f>
        <v>213</v>
      </c>
      <c r="L129" s="21" t="s">
        <v>145</v>
      </c>
      <c r="M129">
        <f t="shared" ref="M129:R129" si="14">SUM(M121:M128)</f>
        <v>19</v>
      </c>
      <c r="N129">
        <f t="shared" si="14"/>
        <v>22</v>
      </c>
      <c r="O129">
        <f t="shared" si="14"/>
        <v>16</v>
      </c>
      <c r="P129">
        <f t="shared" si="14"/>
        <v>14</v>
      </c>
      <c r="Q129">
        <f t="shared" si="14"/>
        <v>12</v>
      </c>
      <c r="R129">
        <f t="shared" si="14"/>
        <v>30</v>
      </c>
      <c r="T129" s="24" t="s">
        <v>145</v>
      </c>
      <c r="U129" s="24">
        <v>210</v>
      </c>
      <c r="V129" s="24">
        <v>325</v>
      </c>
      <c r="W129" s="24">
        <v>200</v>
      </c>
      <c r="X129">
        <v>102</v>
      </c>
      <c r="Y129">
        <v>123</v>
      </c>
      <c r="Z129">
        <v>960</v>
      </c>
      <c r="AB129" s="24" t="s">
        <v>145</v>
      </c>
      <c r="AC129" s="149">
        <f t="shared" si="12"/>
        <v>0.21875</v>
      </c>
      <c r="AD129" s="149">
        <f t="shared" si="11"/>
        <v>0.33854166666666669</v>
      </c>
      <c r="AE129" s="149">
        <f t="shared" si="11"/>
        <v>0.20833333333333334</v>
      </c>
      <c r="AF129" s="149">
        <f t="shared" si="11"/>
        <v>0.10625</v>
      </c>
      <c r="AG129" s="149">
        <f t="shared" si="11"/>
        <v>0.12812499999999999</v>
      </c>
      <c r="AH129" s="149">
        <f t="shared" si="11"/>
        <v>1</v>
      </c>
    </row>
    <row r="130" spans="1:34" x14ac:dyDescent="0.25">
      <c r="A130">
        <v>10</v>
      </c>
      <c r="B130" s="69" t="s">
        <v>91</v>
      </c>
      <c r="C130" s="69" t="s">
        <v>8</v>
      </c>
      <c r="D130" s="69" t="s">
        <v>170</v>
      </c>
      <c r="E130">
        <v>8</v>
      </c>
      <c r="F130">
        <v>59</v>
      </c>
      <c r="G130">
        <v>7</v>
      </c>
      <c r="H130">
        <v>15</v>
      </c>
      <c r="I130">
        <v>2</v>
      </c>
      <c r="J130" s="75">
        <f>8+59+7+15+2</f>
        <v>91</v>
      </c>
    </row>
    <row r="131" spans="1:34" x14ac:dyDescent="0.25">
      <c r="A131">
        <v>11</v>
      </c>
      <c r="B131" s="68" t="s">
        <v>91</v>
      </c>
      <c r="C131" s="69" t="s">
        <v>8</v>
      </c>
      <c r="D131" s="68" t="s">
        <v>9</v>
      </c>
      <c r="E131">
        <v>34</v>
      </c>
      <c r="F131">
        <v>13</v>
      </c>
      <c r="G131">
        <v>11</v>
      </c>
      <c r="H131">
        <v>17</v>
      </c>
      <c r="I131">
        <v>36</v>
      </c>
      <c r="J131" s="75">
        <f>34+13+11+17+36</f>
        <v>111</v>
      </c>
      <c r="L131">
        <v>960</v>
      </c>
      <c r="M131">
        <v>960</v>
      </c>
      <c r="N131">
        <v>960</v>
      </c>
      <c r="O131">
        <v>960</v>
      </c>
      <c r="P131">
        <v>960</v>
      </c>
      <c r="Q131">
        <v>960</v>
      </c>
      <c r="R131">
        <v>960</v>
      </c>
    </row>
    <row r="132" spans="1:34" x14ac:dyDescent="0.25">
      <c r="A132">
        <v>12</v>
      </c>
      <c r="B132" s="68" t="s">
        <v>91</v>
      </c>
      <c r="C132" s="69" t="s">
        <v>8</v>
      </c>
      <c r="D132" s="68" t="s">
        <v>16</v>
      </c>
      <c r="E132">
        <v>1</v>
      </c>
      <c r="F132">
        <v>2</v>
      </c>
      <c r="G132">
        <v>19</v>
      </c>
      <c r="H132">
        <v>4</v>
      </c>
      <c r="I132">
        <v>4</v>
      </c>
      <c r="J132" s="75">
        <f>1+2+19+4+4</f>
        <v>30</v>
      </c>
      <c r="L132">
        <v>960</v>
      </c>
      <c r="M132">
        <v>960</v>
      </c>
      <c r="N132">
        <v>960</v>
      </c>
      <c r="O132">
        <v>960</v>
      </c>
      <c r="P132">
        <v>960</v>
      </c>
      <c r="Q132">
        <v>960</v>
      </c>
      <c r="R132">
        <v>960</v>
      </c>
    </row>
    <row r="133" spans="1:34" x14ac:dyDescent="0.25">
      <c r="A133">
        <v>13</v>
      </c>
      <c r="B133" s="68" t="s">
        <v>91</v>
      </c>
      <c r="C133" s="69" t="s">
        <v>8</v>
      </c>
      <c r="D133" s="68" t="s">
        <v>23</v>
      </c>
      <c r="E133">
        <v>0</v>
      </c>
      <c r="F133">
        <v>5</v>
      </c>
      <c r="G133">
        <v>0</v>
      </c>
      <c r="H133">
        <v>0</v>
      </c>
      <c r="I133">
        <v>0</v>
      </c>
      <c r="J133" s="75">
        <f>0+5+0+0+0</f>
        <v>5</v>
      </c>
      <c r="L133">
        <v>960</v>
      </c>
      <c r="M133">
        <v>960</v>
      </c>
      <c r="N133">
        <v>960</v>
      </c>
      <c r="O133">
        <v>960</v>
      </c>
      <c r="P133">
        <v>960</v>
      </c>
      <c r="Q133">
        <v>960</v>
      </c>
      <c r="R133">
        <v>960</v>
      </c>
    </row>
    <row r="134" spans="1:34" x14ac:dyDescent="0.25">
      <c r="A134">
        <v>14</v>
      </c>
      <c r="B134" s="68" t="s">
        <v>91</v>
      </c>
      <c r="C134" s="69" t="s">
        <v>8</v>
      </c>
      <c r="D134" s="68" t="s">
        <v>31</v>
      </c>
      <c r="E134">
        <v>0</v>
      </c>
      <c r="F134">
        <v>1</v>
      </c>
      <c r="G134">
        <v>0</v>
      </c>
      <c r="H134">
        <v>4</v>
      </c>
      <c r="I134">
        <v>0</v>
      </c>
      <c r="J134" s="75">
        <f>0+1+0+4+0</f>
        <v>5</v>
      </c>
      <c r="L134">
        <v>960</v>
      </c>
      <c r="M134">
        <v>960</v>
      </c>
      <c r="N134">
        <v>960</v>
      </c>
      <c r="O134">
        <v>960</v>
      </c>
      <c r="P134">
        <v>960</v>
      </c>
      <c r="Q134">
        <v>960</v>
      </c>
      <c r="R134">
        <v>960</v>
      </c>
    </row>
    <row r="135" spans="1:34" x14ac:dyDescent="0.25">
      <c r="A135">
        <v>15</v>
      </c>
      <c r="B135" s="68" t="s">
        <v>91</v>
      </c>
      <c r="C135" s="69" t="s">
        <v>14</v>
      </c>
      <c r="D135" s="68" t="s">
        <v>9</v>
      </c>
      <c r="E135">
        <v>0</v>
      </c>
      <c r="F135">
        <v>2</v>
      </c>
      <c r="G135">
        <v>0</v>
      </c>
      <c r="H135">
        <v>1</v>
      </c>
      <c r="I135">
        <v>4</v>
      </c>
      <c r="J135" s="75">
        <f>0+2+0+1+4</f>
        <v>7</v>
      </c>
      <c r="L135">
        <v>960</v>
      </c>
      <c r="M135">
        <v>960</v>
      </c>
      <c r="N135">
        <v>960</v>
      </c>
      <c r="O135">
        <v>960</v>
      </c>
      <c r="P135">
        <v>960</v>
      </c>
      <c r="Q135">
        <v>960</v>
      </c>
      <c r="R135">
        <v>960</v>
      </c>
    </row>
    <row r="136" spans="1:34" x14ac:dyDescent="0.25">
      <c r="A136">
        <v>16</v>
      </c>
      <c r="B136" s="68" t="s">
        <v>91</v>
      </c>
      <c r="C136" s="69" t="s">
        <v>14</v>
      </c>
      <c r="D136" s="68" t="s">
        <v>16</v>
      </c>
      <c r="E136">
        <v>0</v>
      </c>
      <c r="F136">
        <v>4</v>
      </c>
      <c r="G136">
        <v>0</v>
      </c>
      <c r="H136">
        <v>0</v>
      </c>
      <c r="I136">
        <v>1</v>
      </c>
      <c r="J136" s="75">
        <f>0+4+0+0+1</f>
        <v>5</v>
      </c>
      <c r="L136">
        <v>960</v>
      </c>
      <c r="M136">
        <v>960</v>
      </c>
      <c r="N136">
        <v>960</v>
      </c>
      <c r="O136">
        <v>960</v>
      </c>
      <c r="P136">
        <v>960</v>
      </c>
      <c r="Q136">
        <v>960</v>
      </c>
      <c r="R136">
        <v>960</v>
      </c>
    </row>
    <row r="137" spans="1:34" x14ac:dyDescent="0.25">
      <c r="A137">
        <v>17</v>
      </c>
      <c r="B137" s="68" t="s">
        <v>91</v>
      </c>
      <c r="C137" s="69" t="s">
        <v>14</v>
      </c>
      <c r="D137" s="68" t="s">
        <v>23</v>
      </c>
      <c r="E137">
        <v>0</v>
      </c>
      <c r="F137">
        <v>1</v>
      </c>
      <c r="G137">
        <v>0</v>
      </c>
      <c r="H137">
        <v>4</v>
      </c>
      <c r="I137">
        <v>0</v>
      </c>
      <c r="J137" s="75">
        <f>0+0+1+4+0</f>
        <v>5</v>
      </c>
      <c r="L137">
        <v>960</v>
      </c>
      <c r="M137">
        <v>960</v>
      </c>
      <c r="N137">
        <v>960</v>
      </c>
      <c r="O137">
        <v>960</v>
      </c>
      <c r="P137">
        <v>960</v>
      </c>
      <c r="Q137">
        <v>960</v>
      </c>
      <c r="R137">
        <v>960</v>
      </c>
    </row>
    <row r="138" spans="1:34" x14ac:dyDescent="0.25">
      <c r="A138">
        <v>18</v>
      </c>
      <c r="B138" s="68" t="s">
        <v>91</v>
      </c>
      <c r="C138" s="69" t="s">
        <v>14</v>
      </c>
      <c r="D138" s="68" t="s">
        <v>31</v>
      </c>
      <c r="E138">
        <v>0</v>
      </c>
      <c r="F138">
        <v>13</v>
      </c>
      <c r="G138">
        <v>0</v>
      </c>
      <c r="H138">
        <v>0</v>
      </c>
      <c r="I138">
        <v>0</v>
      </c>
      <c r="J138" s="75">
        <f>0+13+0+0+0</f>
        <v>13</v>
      </c>
      <c r="L138">
        <v>960</v>
      </c>
      <c r="M138">
        <v>960</v>
      </c>
      <c r="N138">
        <v>960</v>
      </c>
      <c r="O138">
        <v>960</v>
      </c>
      <c r="P138">
        <v>960</v>
      </c>
      <c r="Q138">
        <v>960</v>
      </c>
      <c r="R138">
        <v>960</v>
      </c>
    </row>
    <row r="139" spans="1:34" x14ac:dyDescent="0.25">
      <c r="A139">
        <v>19</v>
      </c>
      <c r="B139" s="68" t="s">
        <v>91</v>
      </c>
      <c r="C139" s="69" t="s">
        <v>12</v>
      </c>
      <c r="D139" s="69" t="s">
        <v>171</v>
      </c>
      <c r="E139">
        <v>0</v>
      </c>
      <c r="F139">
        <v>3</v>
      </c>
      <c r="G139">
        <v>2</v>
      </c>
      <c r="H139">
        <v>0</v>
      </c>
      <c r="I139">
        <v>0</v>
      </c>
      <c r="J139" s="75">
        <f>0+3+2+0+0</f>
        <v>5</v>
      </c>
      <c r="L139">
        <v>960</v>
      </c>
      <c r="M139">
        <v>960</v>
      </c>
      <c r="N139">
        <v>960</v>
      </c>
      <c r="O139">
        <v>960</v>
      </c>
      <c r="P139">
        <v>960</v>
      </c>
      <c r="Q139">
        <v>960</v>
      </c>
      <c r="R139">
        <v>960</v>
      </c>
    </row>
    <row r="140" spans="1:34" x14ac:dyDescent="0.25">
      <c r="A140">
        <v>20</v>
      </c>
      <c r="B140" s="68" t="s">
        <v>91</v>
      </c>
      <c r="C140" s="69" t="s">
        <v>12</v>
      </c>
      <c r="D140" s="69" t="s">
        <v>172</v>
      </c>
      <c r="E140">
        <v>26</v>
      </c>
      <c r="F140">
        <v>34</v>
      </c>
      <c r="G140">
        <v>16</v>
      </c>
      <c r="H140">
        <v>10</v>
      </c>
      <c r="I140">
        <v>16</v>
      </c>
      <c r="J140" s="75">
        <f>16+10+16+34+26</f>
        <v>102</v>
      </c>
      <c r="L140">
        <v>960</v>
      </c>
      <c r="M140">
        <v>960</v>
      </c>
      <c r="N140">
        <v>960</v>
      </c>
      <c r="O140">
        <v>960</v>
      </c>
      <c r="P140">
        <v>960</v>
      </c>
      <c r="Q140">
        <v>960</v>
      </c>
      <c r="R140">
        <v>960</v>
      </c>
    </row>
    <row r="141" spans="1:34" x14ac:dyDescent="0.25">
      <c r="A141">
        <v>21</v>
      </c>
      <c r="B141" s="68" t="s">
        <v>91</v>
      </c>
      <c r="C141" s="69" t="s">
        <v>36</v>
      </c>
      <c r="D141" s="68" t="s">
        <v>67</v>
      </c>
      <c r="E141">
        <v>4</v>
      </c>
      <c r="F141">
        <v>4</v>
      </c>
      <c r="G141">
        <v>0</v>
      </c>
      <c r="H141">
        <v>0</v>
      </c>
      <c r="I141">
        <v>0</v>
      </c>
      <c r="J141" s="75">
        <f>4+4+0+0+0</f>
        <v>8</v>
      </c>
      <c r="L141">
        <v>960</v>
      </c>
      <c r="M141">
        <v>960</v>
      </c>
      <c r="N141">
        <v>960</v>
      </c>
      <c r="O141">
        <v>960</v>
      </c>
      <c r="P141">
        <v>960</v>
      </c>
      <c r="Q141">
        <v>960</v>
      </c>
      <c r="R141">
        <v>960</v>
      </c>
    </row>
    <row r="142" spans="1:34" x14ac:dyDescent="0.25">
      <c r="A142">
        <v>22</v>
      </c>
      <c r="B142" s="68" t="s">
        <v>96</v>
      </c>
      <c r="C142" s="68" t="s">
        <v>35</v>
      </c>
      <c r="D142" s="70" t="s">
        <v>173</v>
      </c>
      <c r="E142">
        <v>2</v>
      </c>
      <c r="F142">
        <v>0</v>
      </c>
      <c r="G142">
        <v>0</v>
      </c>
      <c r="H142">
        <v>0</v>
      </c>
      <c r="I142">
        <v>0</v>
      </c>
      <c r="J142" s="75">
        <f>2+0+0+0+0</f>
        <v>2</v>
      </c>
      <c r="L142">
        <v>960</v>
      </c>
      <c r="M142">
        <v>960</v>
      </c>
      <c r="N142">
        <v>960</v>
      </c>
      <c r="O142">
        <v>960</v>
      </c>
      <c r="P142">
        <v>960</v>
      </c>
      <c r="Q142">
        <v>960</v>
      </c>
      <c r="R142">
        <v>960</v>
      </c>
    </row>
    <row r="143" spans="1:34" x14ac:dyDescent="0.25">
      <c r="A143">
        <v>23</v>
      </c>
      <c r="B143" s="69" t="s">
        <v>92</v>
      </c>
      <c r="C143" s="69" t="s">
        <v>59</v>
      </c>
      <c r="D143" s="69" t="s">
        <v>67</v>
      </c>
      <c r="E143">
        <v>0</v>
      </c>
      <c r="F143">
        <v>1</v>
      </c>
      <c r="G143">
        <v>0</v>
      </c>
      <c r="H143">
        <v>0</v>
      </c>
      <c r="I143">
        <v>0</v>
      </c>
      <c r="J143" s="75">
        <f>0+1+0+0+0</f>
        <v>1</v>
      </c>
    </row>
    <row r="144" spans="1:34" x14ac:dyDescent="0.25">
      <c r="A144">
        <v>24</v>
      </c>
      <c r="B144" s="69" t="s">
        <v>94</v>
      </c>
      <c r="C144" s="69" t="s">
        <v>57</v>
      </c>
      <c r="D144" s="69" t="s">
        <v>174</v>
      </c>
      <c r="E144">
        <v>0</v>
      </c>
      <c r="F144">
        <v>3</v>
      </c>
      <c r="G144">
        <v>4</v>
      </c>
      <c r="H144">
        <v>0</v>
      </c>
      <c r="I144">
        <v>0</v>
      </c>
      <c r="J144" s="75">
        <f>0+3+4+0+0</f>
        <v>7</v>
      </c>
    </row>
    <row r="145" spans="1:10" x14ac:dyDescent="0.25">
      <c r="A145">
        <v>25</v>
      </c>
      <c r="B145" s="69" t="s">
        <v>95</v>
      </c>
      <c r="C145" s="69" t="s">
        <v>25</v>
      </c>
      <c r="D145" s="69" t="s">
        <v>175</v>
      </c>
      <c r="E145">
        <v>1</v>
      </c>
      <c r="F145">
        <v>4</v>
      </c>
      <c r="G145">
        <v>5</v>
      </c>
      <c r="H145">
        <v>0</v>
      </c>
      <c r="I145">
        <v>0</v>
      </c>
      <c r="J145" s="75">
        <f>1+4+5+0+0</f>
        <v>10</v>
      </c>
    </row>
    <row r="146" spans="1:10" x14ac:dyDescent="0.25">
      <c r="A146">
        <v>26</v>
      </c>
      <c r="B146" s="69" t="s">
        <v>95</v>
      </c>
      <c r="C146" s="69" t="s">
        <v>25</v>
      </c>
      <c r="D146" s="69" t="s">
        <v>67</v>
      </c>
      <c r="E146">
        <v>1</v>
      </c>
      <c r="F146">
        <v>0</v>
      </c>
      <c r="G146">
        <v>0</v>
      </c>
      <c r="H146">
        <v>2</v>
      </c>
      <c r="I146">
        <v>0</v>
      </c>
      <c r="J146" s="75">
        <f>1+0+0+2+0</f>
        <v>3</v>
      </c>
    </row>
    <row r="147" spans="1:10" x14ac:dyDescent="0.25">
      <c r="A147">
        <v>27</v>
      </c>
      <c r="B147" s="69" t="s">
        <v>93</v>
      </c>
      <c r="C147" s="69" t="s">
        <v>78</v>
      </c>
      <c r="D147" s="68" t="s">
        <v>67</v>
      </c>
      <c r="E147">
        <v>3</v>
      </c>
      <c r="F147">
        <v>0</v>
      </c>
      <c r="G147">
        <v>0</v>
      </c>
      <c r="H147">
        <v>0</v>
      </c>
      <c r="I147">
        <v>0</v>
      </c>
      <c r="J147" s="75">
        <f>3+0+0+0+0</f>
        <v>3</v>
      </c>
    </row>
    <row r="148" spans="1:10" x14ac:dyDescent="0.25">
      <c r="A148">
        <v>28</v>
      </c>
      <c r="B148" s="69" t="s">
        <v>93</v>
      </c>
      <c r="C148" s="69" t="s">
        <v>11</v>
      </c>
      <c r="D148" s="69" t="s">
        <v>176</v>
      </c>
      <c r="E148">
        <v>7</v>
      </c>
      <c r="F148">
        <v>0</v>
      </c>
      <c r="G148">
        <v>12</v>
      </c>
      <c r="H148">
        <v>9</v>
      </c>
      <c r="I148">
        <v>3</v>
      </c>
      <c r="J148" s="75">
        <f>7+0+12+9+3</f>
        <v>31</v>
      </c>
    </row>
    <row r="149" spans="1:10" x14ac:dyDescent="0.25">
      <c r="A149">
        <v>29</v>
      </c>
      <c r="B149" s="69" t="s">
        <v>93</v>
      </c>
      <c r="C149" s="69" t="s">
        <v>11</v>
      </c>
      <c r="D149" s="69" t="s">
        <v>67</v>
      </c>
      <c r="E149">
        <v>41</v>
      </c>
      <c r="F149">
        <v>28</v>
      </c>
      <c r="G149">
        <v>9</v>
      </c>
      <c r="H149">
        <v>1</v>
      </c>
      <c r="I149">
        <v>10</v>
      </c>
      <c r="J149" s="75">
        <f>10+1+9+28+41</f>
        <v>89</v>
      </c>
    </row>
    <row r="150" spans="1:10" x14ac:dyDescent="0.25">
      <c r="A150">
        <v>30</v>
      </c>
      <c r="B150" s="69" t="s">
        <v>164</v>
      </c>
      <c r="C150" s="69" t="s">
        <v>163</v>
      </c>
      <c r="D150" s="69" t="s">
        <v>67</v>
      </c>
      <c r="E150">
        <v>0</v>
      </c>
      <c r="F150">
        <v>0</v>
      </c>
      <c r="G150">
        <v>13</v>
      </c>
      <c r="H150">
        <v>0</v>
      </c>
      <c r="I150">
        <v>0</v>
      </c>
      <c r="J150" s="75">
        <f>0+0+13+0+0</f>
        <v>13</v>
      </c>
    </row>
  </sheetData>
  <mergeCells count="9">
    <mergeCell ref="C36:G36"/>
    <mergeCell ref="C35:F35"/>
    <mergeCell ref="N73:R73"/>
    <mergeCell ref="N74:R74"/>
    <mergeCell ref="N75:R75"/>
    <mergeCell ref="C38:G38"/>
    <mergeCell ref="C37:G37"/>
    <mergeCell ref="O71:R71"/>
    <mergeCell ref="N72:R72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G9" sqref="G9"/>
    </sheetView>
  </sheetViews>
  <sheetFormatPr defaultRowHeight="15" x14ac:dyDescent="0.25"/>
  <cols>
    <col min="1" max="1" width="3.85546875" customWidth="1"/>
    <col min="2" max="2" width="20.7109375" customWidth="1"/>
    <col min="4" max="4" width="15.7109375" customWidth="1"/>
    <col min="5" max="5" width="17.5703125" customWidth="1"/>
    <col min="6" max="6" width="15" customWidth="1"/>
  </cols>
  <sheetData>
    <row r="1" spans="1:6" ht="30" x14ac:dyDescent="0.25">
      <c r="A1" s="155" t="s">
        <v>98</v>
      </c>
      <c r="B1" s="156" t="s">
        <v>179</v>
      </c>
      <c r="C1" s="157" t="s">
        <v>180</v>
      </c>
      <c r="D1" s="158" t="s">
        <v>181</v>
      </c>
      <c r="E1" s="158" t="s">
        <v>182</v>
      </c>
    </row>
    <row r="2" spans="1:6" x14ac:dyDescent="0.25">
      <c r="A2" s="153">
        <v>1</v>
      </c>
      <c r="B2" s="10" t="s">
        <v>188</v>
      </c>
      <c r="C2" s="54" t="s">
        <v>158</v>
      </c>
      <c r="D2" s="154">
        <v>9</v>
      </c>
      <c r="E2" s="89">
        <v>0.01</v>
      </c>
      <c r="F2" s="88">
        <f>D2/D7</f>
        <v>9.3749999999999997E-3</v>
      </c>
    </row>
    <row r="3" spans="1:6" x14ac:dyDescent="0.25">
      <c r="A3" s="153">
        <v>2</v>
      </c>
      <c r="B3" s="10" t="s">
        <v>189</v>
      </c>
      <c r="C3" s="54" t="s">
        <v>28</v>
      </c>
      <c r="D3" s="154">
        <v>31</v>
      </c>
      <c r="E3" s="89">
        <v>0.05</v>
      </c>
      <c r="F3" s="88">
        <f>D3/D7</f>
        <v>3.229166666666667E-2</v>
      </c>
    </row>
    <row r="4" spans="1:6" x14ac:dyDescent="0.25">
      <c r="A4" s="153">
        <v>3</v>
      </c>
      <c r="B4" s="10" t="s">
        <v>190</v>
      </c>
      <c r="C4" s="54" t="s">
        <v>19</v>
      </c>
      <c r="D4" s="154">
        <v>32</v>
      </c>
      <c r="E4" s="89">
        <v>0.06</v>
      </c>
      <c r="F4" s="88">
        <f>D4/D7</f>
        <v>3.3333333333333333E-2</v>
      </c>
    </row>
    <row r="5" spans="1:6" x14ac:dyDescent="0.25">
      <c r="A5" s="153">
        <v>4</v>
      </c>
      <c r="B5" s="10" t="s">
        <v>191</v>
      </c>
      <c r="C5" s="54" t="s">
        <v>7</v>
      </c>
      <c r="D5" s="154">
        <v>886</v>
      </c>
      <c r="E5" s="89">
        <v>0.87</v>
      </c>
      <c r="F5" s="88">
        <f>D5/D7</f>
        <v>0.92291666666666672</v>
      </c>
    </row>
    <row r="6" spans="1:6" x14ac:dyDescent="0.25">
      <c r="A6" s="153">
        <v>5</v>
      </c>
      <c r="B6" s="10" t="s">
        <v>35</v>
      </c>
      <c r="C6" s="54" t="s">
        <v>159</v>
      </c>
      <c r="D6" s="154">
        <v>2</v>
      </c>
      <c r="E6" s="89">
        <v>0</v>
      </c>
      <c r="F6" s="88">
        <f>D6/D7</f>
        <v>2.0833333333333333E-3</v>
      </c>
    </row>
    <row r="7" spans="1:6" x14ac:dyDescent="0.25">
      <c r="A7" s="159"/>
      <c r="B7" s="159" t="s">
        <v>145</v>
      </c>
      <c r="C7" s="159"/>
      <c r="D7" s="160">
        <f>SUM(D2:D6)</f>
        <v>960</v>
      </c>
      <c r="E7" s="164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F6" sqref="F6"/>
    </sheetView>
  </sheetViews>
  <sheetFormatPr defaultRowHeight="15" x14ac:dyDescent="0.25"/>
  <sheetData>
    <row r="1" spans="1:4" ht="39" thickBot="1" x14ac:dyDescent="0.3">
      <c r="A1" s="127" t="s">
        <v>108</v>
      </c>
      <c r="B1" s="127" t="s">
        <v>151</v>
      </c>
      <c r="C1" s="128" t="s">
        <v>152</v>
      </c>
      <c r="D1" s="128" t="s">
        <v>153</v>
      </c>
    </row>
    <row r="2" spans="1:4" x14ac:dyDescent="0.25">
      <c r="A2" s="129">
        <v>1</v>
      </c>
      <c r="B2" s="129">
        <v>2.2000000000000002</v>
      </c>
      <c r="C2" s="130">
        <v>0.9</v>
      </c>
      <c r="D2" s="130">
        <v>0.15</v>
      </c>
    </row>
    <row r="3" spans="1:4" x14ac:dyDescent="0.25">
      <c r="A3" s="129">
        <v>2</v>
      </c>
      <c r="B3" s="129">
        <v>2.2999999999999998</v>
      </c>
      <c r="C3" s="130">
        <v>0.91</v>
      </c>
      <c r="D3" s="130">
        <v>0.16</v>
      </c>
    </row>
    <row r="4" spans="1:4" x14ac:dyDescent="0.25">
      <c r="A4" s="129">
        <v>3</v>
      </c>
      <c r="B4" s="129">
        <v>2.7</v>
      </c>
      <c r="C4" s="130">
        <v>1.07</v>
      </c>
      <c r="D4" s="130">
        <v>0.08</v>
      </c>
    </row>
    <row r="5" spans="1:4" x14ac:dyDescent="0.25">
      <c r="A5" s="129">
        <v>4</v>
      </c>
      <c r="B5" s="129">
        <v>2.2999999999999998</v>
      </c>
      <c r="C5" s="130">
        <v>0.94</v>
      </c>
      <c r="D5" s="130">
        <v>0.11</v>
      </c>
    </row>
    <row r="6" spans="1:4" x14ac:dyDescent="0.25">
      <c r="A6" s="129">
        <v>5</v>
      </c>
      <c r="B6" s="129">
        <v>1.9</v>
      </c>
      <c r="C6" s="130">
        <v>0.78</v>
      </c>
      <c r="D6" s="130">
        <v>0.11</v>
      </c>
    </row>
    <row r="7" spans="1:4" ht="15.75" thickBot="1" x14ac:dyDescent="0.3">
      <c r="A7" s="131" t="s">
        <v>147</v>
      </c>
      <c r="B7" s="131" t="s">
        <v>155</v>
      </c>
      <c r="C7" s="132" t="s">
        <v>156</v>
      </c>
      <c r="D7" s="132" t="s">
        <v>154</v>
      </c>
    </row>
    <row r="8" spans="1:4" x14ac:dyDescent="0.25">
      <c r="A8" t="s">
        <v>146</v>
      </c>
      <c r="B8">
        <f>AVERAGE(B2:B6)</f>
        <v>2.2800000000000002</v>
      </c>
      <c r="C8">
        <f>AVERAGE(C2:C6)</f>
        <v>0.91999999999999993</v>
      </c>
      <c r="D8" s="133">
        <f>AVERAGE(D2:D6)</f>
        <v>0.122</v>
      </c>
    </row>
    <row r="9" spans="1:4" x14ac:dyDescent="0.25">
      <c r="A9" t="s">
        <v>136</v>
      </c>
      <c r="B9" s="133">
        <f>STDEV(B2:B6)</f>
        <v>0.28635642126552679</v>
      </c>
      <c r="C9" s="133">
        <f>STDEV(C2:C6)</f>
        <v>0.10368220676663986</v>
      </c>
      <c r="D9" s="133">
        <f>STDEV(D2:D6)</f>
        <v>3.2710854467592275E-2</v>
      </c>
    </row>
  </sheetData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8"/>
  <sheetViews>
    <sheetView topLeftCell="O1" zoomScale="60" zoomScaleNormal="60" workbookViewId="0">
      <pane ySplit="645" topLeftCell="A136" activePane="bottomLeft"/>
      <selection activeCell="AM1" sqref="AM1"/>
      <selection pane="bottomLeft" activeCell="O368" sqref="O368"/>
    </sheetView>
  </sheetViews>
  <sheetFormatPr defaultRowHeight="15" x14ac:dyDescent="0.25"/>
  <sheetData>
    <row r="1" spans="1:40" ht="38.25" x14ac:dyDescent="0.25">
      <c r="A1" t="s">
        <v>108</v>
      </c>
      <c r="B1" s="123" t="s">
        <v>130</v>
      </c>
      <c r="C1" s="103" t="s">
        <v>101</v>
      </c>
      <c r="D1" s="103" t="s">
        <v>112</v>
      </c>
      <c r="E1" s="104" t="s">
        <v>64</v>
      </c>
      <c r="F1" s="104" t="s">
        <v>102</v>
      </c>
      <c r="G1" s="103" t="s">
        <v>113</v>
      </c>
      <c r="H1" s="104" t="s">
        <v>114</v>
      </c>
      <c r="I1" s="103" t="s">
        <v>103</v>
      </c>
      <c r="J1" s="103" t="s">
        <v>104</v>
      </c>
      <c r="K1" s="104" t="s">
        <v>37</v>
      </c>
      <c r="L1" s="104" t="s">
        <v>34</v>
      </c>
      <c r="M1" s="104" t="s">
        <v>18</v>
      </c>
      <c r="N1" s="104" t="s">
        <v>30</v>
      </c>
      <c r="O1" s="103" t="s">
        <v>68</v>
      </c>
      <c r="P1" s="103" t="s">
        <v>115</v>
      </c>
      <c r="Q1" s="103" t="s">
        <v>116</v>
      </c>
      <c r="R1" s="103" t="s">
        <v>117</v>
      </c>
      <c r="S1" s="103" t="s">
        <v>118</v>
      </c>
      <c r="T1" s="103" t="s">
        <v>119</v>
      </c>
      <c r="U1" s="103" t="s">
        <v>120</v>
      </c>
      <c r="V1" s="103" t="s">
        <v>121</v>
      </c>
      <c r="W1" s="104" t="s">
        <v>55</v>
      </c>
      <c r="X1" s="104" t="s">
        <v>13</v>
      </c>
      <c r="Y1" s="103" t="s">
        <v>122</v>
      </c>
      <c r="Z1" s="105" t="s">
        <v>97</v>
      </c>
      <c r="AA1" s="104" t="s">
        <v>123</v>
      </c>
      <c r="AB1" s="104" t="s">
        <v>58</v>
      </c>
      <c r="AC1" s="104" t="s">
        <v>69</v>
      </c>
      <c r="AD1" s="104" t="s">
        <v>124</v>
      </c>
      <c r="AE1" s="103" t="s">
        <v>125</v>
      </c>
      <c r="AF1" s="104" t="s">
        <v>60</v>
      </c>
      <c r="AG1" s="106" t="s">
        <v>126</v>
      </c>
      <c r="AH1" s="103" t="s">
        <v>131</v>
      </c>
      <c r="AI1" s="103" t="s">
        <v>133</v>
      </c>
      <c r="AJ1" s="103" t="s">
        <v>132</v>
      </c>
      <c r="AM1" s="103" t="s">
        <v>134</v>
      </c>
    </row>
    <row r="2" spans="1:40" x14ac:dyDescent="0.25">
      <c r="A2" s="177">
        <v>1</v>
      </c>
      <c r="B2">
        <v>1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3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f>SUM(C2:AG2)</f>
        <v>3</v>
      </c>
      <c r="AI2">
        <f>COUNTIF(C2:AG2,0)</f>
        <v>30</v>
      </c>
      <c r="AJ2">
        <f>31-AI2</f>
        <v>1</v>
      </c>
      <c r="AL2" t="s">
        <v>108</v>
      </c>
      <c r="AM2" t="s">
        <v>135</v>
      </c>
      <c r="AN2" t="s">
        <v>136</v>
      </c>
    </row>
    <row r="3" spans="1:40" x14ac:dyDescent="0.25">
      <c r="A3" s="177"/>
      <c r="B3">
        <v>2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11</v>
      </c>
      <c r="AH3">
        <f>SUM(C3:AG3)</f>
        <v>12</v>
      </c>
      <c r="AI3">
        <f t="shared" ref="AI3:AI66" si="0">COUNTIF(C3:AG3,0)</f>
        <v>29</v>
      </c>
      <c r="AJ3">
        <f t="shared" ref="AJ3:AJ66" si="1">31-AI3</f>
        <v>2</v>
      </c>
      <c r="AL3">
        <v>1</v>
      </c>
      <c r="AM3" s="126">
        <f>AVERAGE(AJ2:AJ81)</f>
        <v>0.77500000000000002</v>
      </c>
      <c r="AN3" s="126">
        <f>STDEV(AJ2:AJ81)</f>
        <v>0.6930943275164233</v>
      </c>
    </row>
    <row r="4" spans="1:40" x14ac:dyDescent="0.25">
      <c r="A4" s="177"/>
      <c r="B4">
        <v>3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8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f t="shared" ref="AH4:AH66" si="2">SUM(C4:AG4)</f>
        <v>8</v>
      </c>
      <c r="AI4">
        <f t="shared" si="0"/>
        <v>30</v>
      </c>
      <c r="AJ4">
        <f t="shared" si="1"/>
        <v>1</v>
      </c>
      <c r="AL4">
        <v>2</v>
      </c>
      <c r="AM4" s="126">
        <f>AVERAGE(AJ83:AJ162)</f>
        <v>1.175</v>
      </c>
      <c r="AN4" s="126">
        <f>STDEV(AJ83:AJ162)</f>
        <v>1.3666460840273689</v>
      </c>
    </row>
    <row r="5" spans="1:40" x14ac:dyDescent="0.25">
      <c r="A5" s="177"/>
      <c r="B5">
        <v>4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13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f t="shared" si="2"/>
        <v>13</v>
      </c>
      <c r="AI5">
        <f t="shared" si="0"/>
        <v>30</v>
      </c>
      <c r="AJ5">
        <f t="shared" si="1"/>
        <v>1</v>
      </c>
      <c r="AL5">
        <v>3</v>
      </c>
      <c r="AM5" s="126">
        <f>AVERAGE(AJ164:AJ243)</f>
        <v>1.0125</v>
      </c>
      <c r="AN5" s="126">
        <f>STDEV(AJ164:AJ243)</f>
        <v>0.98718048828757554</v>
      </c>
    </row>
    <row r="6" spans="1:40" x14ac:dyDescent="0.25">
      <c r="A6" s="177"/>
      <c r="B6">
        <v>5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12</v>
      </c>
      <c r="AH6">
        <f t="shared" si="2"/>
        <v>12</v>
      </c>
      <c r="AI6">
        <f t="shared" si="0"/>
        <v>30</v>
      </c>
      <c r="AJ6">
        <f t="shared" si="1"/>
        <v>1</v>
      </c>
      <c r="AL6">
        <v>4</v>
      </c>
      <c r="AM6" s="126">
        <f>AVERAGE(AJ245:AJ304)</f>
        <v>0.6333333333333333</v>
      </c>
      <c r="AN6" s="126">
        <f>STDEV(AJ245:AJ304)</f>
        <v>0.82270052764787405</v>
      </c>
    </row>
    <row r="7" spans="1:40" x14ac:dyDescent="0.25">
      <c r="A7" s="177"/>
      <c r="B7">
        <v>6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1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1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f t="shared" si="2"/>
        <v>2</v>
      </c>
      <c r="AI7">
        <f t="shared" si="0"/>
        <v>29</v>
      </c>
      <c r="AJ7">
        <f t="shared" si="1"/>
        <v>2</v>
      </c>
      <c r="AL7">
        <v>5</v>
      </c>
      <c r="AM7" s="126">
        <f>AVERAGE(AJ306:AJ367)</f>
        <v>0.77419354838709675</v>
      </c>
      <c r="AN7" s="126">
        <f>STDEV(AJ306:AJ367)</f>
        <v>0.79793493384249004</v>
      </c>
    </row>
    <row r="8" spans="1:40" x14ac:dyDescent="0.25">
      <c r="A8" s="177"/>
      <c r="B8">
        <v>7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5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f t="shared" si="2"/>
        <v>5</v>
      </c>
      <c r="AI8">
        <f t="shared" si="0"/>
        <v>30</v>
      </c>
      <c r="AJ8">
        <f t="shared" si="1"/>
        <v>1</v>
      </c>
      <c r="AL8" t="s">
        <v>145</v>
      </c>
      <c r="AM8" s="126">
        <f>AVERAGE(AJ2:AJ81,AJ83:AJ162,AJ164:AJ243,AJ245:AJ304,AJ306:AJ367)</f>
        <v>0.89226519337016574</v>
      </c>
      <c r="AN8" s="126">
        <f>STDEV(AJ2:AJ81,AJ83:AJ162,AJ164:AJ243,AJ245:AJ304,AJ306:AJ367)</f>
        <v>0.99137323620651718</v>
      </c>
    </row>
    <row r="9" spans="1:40" x14ac:dyDescent="0.25">
      <c r="A9" s="177"/>
      <c r="B9">
        <v>8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1</v>
      </c>
      <c r="AA9">
        <v>0</v>
      </c>
      <c r="AB9">
        <v>0</v>
      </c>
      <c r="AC9">
        <v>0</v>
      </c>
      <c r="AD9">
        <v>0</v>
      </c>
      <c r="AE9">
        <v>0</v>
      </c>
      <c r="AF9">
        <v>7</v>
      </c>
      <c r="AG9">
        <v>0</v>
      </c>
      <c r="AH9">
        <f t="shared" si="2"/>
        <v>8</v>
      </c>
      <c r="AI9">
        <f t="shared" si="0"/>
        <v>29</v>
      </c>
      <c r="AJ9">
        <f t="shared" si="1"/>
        <v>2</v>
      </c>
    </row>
    <row r="10" spans="1:40" x14ac:dyDescent="0.25">
      <c r="A10" s="177"/>
      <c r="B10">
        <v>9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4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f t="shared" si="2"/>
        <v>4</v>
      </c>
      <c r="AI10">
        <f t="shared" si="0"/>
        <v>30</v>
      </c>
      <c r="AJ10">
        <f t="shared" si="1"/>
        <v>1</v>
      </c>
    </row>
    <row r="11" spans="1:40" x14ac:dyDescent="0.25">
      <c r="A11" s="177"/>
      <c r="B11">
        <v>10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3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f t="shared" si="2"/>
        <v>3</v>
      </c>
      <c r="AI11">
        <f t="shared" si="0"/>
        <v>30</v>
      </c>
      <c r="AJ11">
        <f t="shared" si="1"/>
        <v>1</v>
      </c>
    </row>
    <row r="12" spans="1:40" x14ac:dyDescent="0.25">
      <c r="A12" s="177"/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f t="shared" si="2"/>
        <v>0</v>
      </c>
      <c r="AI12">
        <f t="shared" si="0"/>
        <v>31</v>
      </c>
      <c r="AJ12">
        <f t="shared" si="1"/>
        <v>0</v>
      </c>
    </row>
    <row r="13" spans="1:40" x14ac:dyDescent="0.25">
      <c r="A13" s="177"/>
      <c r="B13">
        <v>12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7</v>
      </c>
      <c r="AH13">
        <f t="shared" si="2"/>
        <v>7</v>
      </c>
      <c r="AI13">
        <f t="shared" si="0"/>
        <v>30</v>
      </c>
      <c r="AJ13">
        <f t="shared" si="1"/>
        <v>1</v>
      </c>
    </row>
    <row r="14" spans="1:40" x14ac:dyDescent="0.25">
      <c r="A14" s="177"/>
      <c r="B14">
        <v>13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4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3</v>
      </c>
      <c r="AH14">
        <f t="shared" si="2"/>
        <v>7</v>
      </c>
      <c r="AI14">
        <f t="shared" si="0"/>
        <v>29</v>
      </c>
      <c r="AJ14">
        <f t="shared" si="1"/>
        <v>2</v>
      </c>
    </row>
    <row r="15" spans="1:40" x14ac:dyDescent="0.25">
      <c r="A15" s="177"/>
      <c r="B15">
        <v>14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1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f t="shared" si="2"/>
        <v>1</v>
      </c>
      <c r="AI15">
        <f t="shared" si="0"/>
        <v>30</v>
      </c>
      <c r="AJ15">
        <f t="shared" si="1"/>
        <v>1</v>
      </c>
    </row>
    <row r="16" spans="1:40" x14ac:dyDescent="0.25">
      <c r="A16" s="177"/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f t="shared" si="2"/>
        <v>0</v>
      </c>
      <c r="AI16">
        <f t="shared" si="0"/>
        <v>31</v>
      </c>
      <c r="AJ16">
        <f t="shared" si="1"/>
        <v>0</v>
      </c>
    </row>
    <row r="17" spans="1:39" x14ac:dyDescent="0.25">
      <c r="A17" s="177"/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f t="shared" si="2"/>
        <v>0</v>
      </c>
      <c r="AI17">
        <f t="shared" si="0"/>
        <v>31</v>
      </c>
      <c r="AJ17">
        <f t="shared" si="1"/>
        <v>0</v>
      </c>
    </row>
    <row r="18" spans="1:39" x14ac:dyDescent="0.25">
      <c r="A18" s="177"/>
      <c r="B18">
        <v>17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f t="shared" si="2"/>
        <v>1</v>
      </c>
      <c r="AI18">
        <f t="shared" si="0"/>
        <v>30</v>
      </c>
      <c r="AJ18">
        <f t="shared" si="1"/>
        <v>1</v>
      </c>
    </row>
    <row r="19" spans="1:39" x14ac:dyDescent="0.25">
      <c r="A19" s="177"/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f t="shared" si="2"/>
        <v>0</v>
      </c>
      <c r="AI19">
        <f t="shared" si="0"/>
        <v>31</v>
      </c>
      <c r="AJ19">
        <f t="shared" si="1"/>
        <v>0</v>
      </c>
    </row>
    <row r="20" spans="1:39" x14ac:dyDescent="0.25">
      <c r="A20" s="177"/>
      <c r="B20">
        <v>19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f t="shared" si="2"/>
        <v>0</v>
      </c>
      <c r="AI20">
        <f t="shared" si="0"/>
        <v>31</v>
      </c>
      <c r="AJ20">
        <f t="shared" si="1"/>
        <v>0</v>
      </c>
    </row>
    <row r="21" spans="1:39" x14ac:dyDescent="0.25">
      <c r="A21" s="177"/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f t="shared" si="2"/>
        <v>0</v>
      </c>
      <c r="AI21">
        <f t="shared" si="0"/>
        <v>31</v>
      </c>
      <c r="AJ21">
        <f t="shared" si="1"/>
        <v>0</v>
      </c>
    </row>
    <row r="22" spans="1:39" x14ac:dyDescent="0.25">
      <c r="A22" s="177"/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5</v>
      </c>
      <c r="AH22">
        <f t="shared" si="2"/>
        <v>5</v>
      </c>
      <c r="AI22">
        <f t="shared" si="0"/>
        <v>30</v>
      </c>
      <c r="AJ22">
        <f t="shared" si="1"/>
        <v>1</v>
      </c>
    </row>
    <row r="23" spans="1:39" x14ac:dyDescent="0.25">
      <c r="A23" s="177"/>
      <c r="B23">
        <v>22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1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f t="shared" si="2"/>
        <v>1</v>
      </c>
      <c r="AI23">
        <f t="shared" si="0"/>
        <v>30</v>
      </c>
      <c r="AJ23">
        <f t="shared" si="1"/>
        <v>1</v>
      </c>
    </row>
    <row r="24" spans="1:39" x14ac:dyDescent="0.25">
      <c r="A24" s="177"/>
      <c r="B24">
        <v>23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f t="shared" si="2"/>
        <v>0</v>
      </c>
      <c r="AI24">
        <f t="shared" si="0"/>
        <v>31</v>
      </c>
      <c r="AJ24">
        <f t="shared" si="1"/>
        <v>0</v>
      </c>
    </row>
    <row r="25" spans="1:39" x14ac:dyDescent="0.25">
      <c r="A25" s="177"/>
      <c r="B25">
        <v>24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f t="shared" si="2"/>
        <v>0</v>
      </c>
      <c r="AI25">
        <f t="shared" si="0"/>
        <v>31</v>
      </c>
      <c r="AJ25">
        <f t="shared" si="1"/>
        <v>0</v>
      </c>
    </row>
    <row r="26" spans="1:39" x14ac:dyDescent="0.25">
      <c r="A26" s="177"/>
      <c r="B26">
        <v>25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f t="shared" si="2"/>
        <v>0</v>
      </c>
      <c r="AI26">
        <f t="shared" si="0"/>
        <v>31</v>
      </c>
      <c r="AJ26">
        <f t="shared" si="1"/>
        <v>0</v>
      </c>
    </row>
    <row r="27" spans="1:39" x14ac:dyDescent="0.25">
      <c r="A27" s="177"/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f t="shared" si="2"/>
        <v>0</v>
      </c>
      <c r="AI27">
        <f t="shared" si="0"/>
        <v>31</v>
      </c>
      <c r="AJ27">
        <f t="shared" si="1"/>
        <v>0</v>
      </c>
    </row>
    <row r="28" spans="1:39" x14ac:dyDescent="0.25">
      <c r="A28" s="177"/>
      <c r="B28">
        <v>27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f t="shared" si="2"/>
        <v>0</v>
      </c>
      <c r="AI28">
        <f t="shared" si="0"/>
        <v>31</v>
      </c>
      <c r="AJ28">
        <f t="shared" si="1"/>
        <v>0</v>
      </c>
      <c r="AM28" t="s">
        <v>149</v>
      </c>
    </row>
    <row r="29" spans="1:39" x14ac:dyDescent="0.25">
      <c r="A29" s="177"/>
      <c r="B29">
        <v>28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f t="shared" si="2"/>
        <v>0</v>
      </c>
      <c r="AI29">
        <f t="shared" si="0"/>
        <v>31</v>
      </c>
      <c r="AJ29">
        <f t="shared" si="1"/>
        <v>0</v>
      </c>
    </row>
    <row r="30" spans="1:39" x14ac:dyDescent="0.25">
      <c r="A30" s="177"/>
      <c r="B30">
        <v>29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f t="shared" si="2"/>
        <v>0</v>
      </c>
      <c r="AI30">
        <f t="shared" si="0"/>
        <v>31</v>
      </c>
      <c r="AJ30">
        <f t="shared" si="1"/>
        <v>0</v>
      </c>
    </row>
    <row r="31" spans="1:39" x14ac:dyDescent="0.25">
      <c r="A31" s="177"/>
      <c r="B31">
        <v>30</v>
      </c>
      <c r="C31">
        <v>0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1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3</v>
      </c>
      <c r="AH31">
        <f t="shared" si="2"/>
        <v>5</v>
      </c>
      <c r="AI31">
        <f t="shared" si="0"/>
        <v>28</v>
      </c>
      <c r="AJ31">
        <f t="shared" si="1"/>
        <v>3</v>
      </c>
    </row>
    <row r="32" spans="1:39" x14ac:dyDescent="0.25">
      <c r="A32" s="177"/>
      <c r="B32">
        <v>31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f t="shared" si="2"/>
        <v>0</v>
      </c>
      <c r="AI32">
        <f t="shared" si="0"/>
        <v>31</v>
      </c>
      <c r="AJ32">
        <f t="shared" si="1"/>
        <v>0</v>
      </c>
    </row>
    <row r="33" spans="1:36" x14ac:dyDescent="0.25">
      <c r="A33" s="177"/>
      <c r="B33">
        <v>32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2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f t="shared" si="2"/>
        <v>2</v>
      </c>
      <c r="AI33">
        <f t="shared" si="0"/>
        <v>30</v>
      </c>
      <c r="AJ33">
        <f t="shared" si="1"/>
        <v>1</v>
      </c>
    </row>
    <row r="34" spans="1:36" x14ac:dyDescent="0.25">
      <c r="A34" s="177"/>
      <c r="B34">
        <v>33</v>
      </c>
      <c r="C34">
        <v>0</v>
      </c>
      <c r="D34">
        <v>0</v>
      </c>
      <c r="E34">
        <v>0</v>
      </c>
      <c r="F34">
        <v>0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f t="shared" si="2"/>
        <v>1</v>
      </c>
      <c r="AI34">
        <f t="shared" si="0"/>
        <v>30</v>
      </c>
      <c r="AJ34">
        <f t="shared" si="1"/>
        <v>1</v>
      </c>
    </row>
    <row r="35" spans="1:36" x14ac:dyDescent="0.25">
      <c r="A35" s="177"/>
      <c r="B35">
        <v>34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f t="shared" si="2"/>
        <v>0</v>
      </c>
      <c r="AI35">
        <f t="shared" si="0"/>
        <v>31</v>
      </c>
      <c r="AJ35">
        <f t="shared" si="1"/>
        <v>0</v>
      </c>
    </row>
    <row r="36" spans="1:36" x14ac:dyDescent="0.25">
      <c r="A36" s="177"/>
      <c r="B36">
        <v>35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4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f t="shared" si="2"/>
        <v>4</v>
      </c>
      <c r="AI36">
        <f t="shared" si="0"/>
        <v>30</v>
      </c>
      <c r="AJ36">
        <f t="shared" si="1"/>
        <v>1</v>
      </c>
    </row>
    <row r="37" spans="1:36" x14ac:dyDescent="0.25">
      <c r="A37" s="177"/>
      <c r="B37">
        <v>36</v>
      </c>
      <c r="C37">
        <v>0</v>
      </c>
      <c r="D37">
        <v>0</v>
      </c>
      <c r="E37">
        <v>0</v>
      </c>
      <c r="F37">
        <v>0</v>
      </c>
      <c r="G37">
        <v>3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f t="shared" si="2"/>
        <v>3</v>
      </c>
      <c r="AI37">
        <f t="shared" si="0"/>
        <v>30</v>
      </c>
      <c r="AJ37">
        <f t="shared" si="1"/>
        <v>1</v>
      </c>
    </row>
    <row r="38" spans="1:36" x14ac:dyDescent="0.25">
      <c r="A38" s="177"/>
      <c r="B38">
        <v>37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4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f t="shared" si="2"/>
        <v>4</v>
      </c>
      <c r="AI38">
        <f t="shared" si="0"/>
        <v>30</v>
      </c>
      <c r="AJ38">
        <f t="shared" si="1"/>
        <v>1</v>
      </c>
    </row>
    <row r="39" spans="1:36" x14ac:dyDescent="0.25">
      <c r="A39" s="177"/>
      <c r="B39">
        <v>38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4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f t="shared" si="2"/>
        <v>4</v>
      </c>
      <c r="AI39">
        <f t="shared" si="0"/>
        <v>30</v>
      </c>
      <c r="AJ39">
        <f t="shared" si="1"/>
        <v>1</v>
      </c>
    </row>
    <row r="40" spans="1:36" x14ac:dyDescent="0.25">
      <c r="A40" s="177"/>
      <c r="B40">
        <v>39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8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f t="shared" si="2"/>
        <v>8</v>
      </c>
      <c r="AI40">
        <f t="shared" si="0"/>
        <v>30</v>
      </c>
      <c r="AJ40">
        <f t="shared" si="1"/>
        <v>1</v>
      </c>
    </row>
    <row r="41" spans="1:36" x14ac:dyDescent="0.25">
      <c r="A41" s="177"/>
      <c r="B41">
        <v>40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5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f t="shared" si="2"/>
        <v>5</v>
      </c>
      <c r="AI41">
        <f t="shared" si="0"/>
        <v>30</v>
      </c>
      <c r="AJ41">
        <f t="shared" si="1"/>
        <v>1</v>
      </c>
    </row>
    <row r="42" spans="1:36" x14ac:dyDescent="0.25">
      <c r="A42" s="177"/>
      <c r="B42">
        <v>41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f t="shared" si="2"/>
        <v>0</v>
      </c>
      <c r="AI42">
        <f t="shared" si="0"/>
        <v>31</v>
      </c>
      <c r="AJ42">
        <f t="shared" si="1"/>
        <v>0</v>
      </c>
    </row>
    <row r="43" spans="1:36" x14ac:dyDescent="0.25">
      <c r="A43" s="177"/>
      <c r="B43">
        <v>42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f t="shared" si="2"/>
        <v>0</v>
      </c>
      <c r="AI43">
        <f t="shared" si="0"/>
        <v>31</v>
      </c>
      <c r="AJ43">
        <f t="shared" si="1"/>
        <v>0</v>
      </c>
    </row>
    <row r="44" spans="1:36" x14ac:dyDescent="0.25">
      <c r="A44" s="177"/>
      <c r="B44">
        <v>43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4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f t="shared" si="2"/>
        <v>4</v>
      </c>
      <c r="AI44">
        <f t="shared" si="0"/>
        <v>30</v>
      </c>
      <c r="AJ44">
        <f t="shared" si="1"/>
        <v>1</v>
      </c>
    </row>
    <row r="45" spans="1:36" x14ac:dyDescent="0.25">
      <c r="A45" s="177"/>
      <c r="B45">
        <v>44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5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f t="shared" si="2"/>
        <v>5</v>
      </c>
      <c r="AI45">
        <f t="shared" si="0"/>
        <v>30</v>
      </c>
      <c r="AJ45">
        <f t="shared" si="1"/>
        <v>1</v>
      </c>
    </row>
    <row r="46" spans="1:36" x14ac:dyDescent="0.25">
      <c r="A46" s="177"/>
      <c r="B46">
        <v>45</v>
      </c>
      <c r="C46">
        <v>0</v>
      </c>
      <c r="D46">
        <v>0</v>
      </c>
      <c r="E46">
        <v>1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f t="shared" si="2"/>
        <v>1</v>
      </c>
      <c r="AI46">
        <f t="shared" si="0"/>
        <v>30</v>
      </c>
      <c r="AJ46">
        <f t="shared" si="1"/>
        <v>1</v>
      </c>
    </row>
    <row r="47" spans="1:36" x14ac:dyDescent="0.25">
      <c r="A47" s="177"/>
      <c r="B47">
        <v>46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9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1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f t="shared" si="2"/>
        <v>10</v>
      </c>
      <c r="AI47">
        <f t="shared" si="0"/>
        <v>29</v>
      </c>
      <c r="AJ47">
        <f t="shared" si="1"/>
        <v>2</v>
      </c>
    </row>
    <row r="48" spans="1:36" x14ac:dyDescent="0.25">
      <c r="A48" s="177"/>
      <c r="B48">
        <v>47</v>
      </c>
      <c r="C48">
        <v>0</v>
      </c>
      <c r="D48">
        <v>0</v>
      </c>
      <c r="E48">
        <v>3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f t="shared" si="2"/>
        <v>3</v>
      </c>
      <c r="AI48">
        <f t="shared" si="0"/>
        <v>30</v>
      </c>
      <c r="AJ48">
        <f t="shared" si="1"/>
        <v>1</v>
      </c>
    </row>
    <row r="49" spans="1:36" x14ac:dyDescent="0.25">
      <c r="A49" s="177"/>
      <c r="B49">
        <v>48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 s="107">
        <v>5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f t="shared" si="2"/>
        <v>5</v>
      </c>
      <c r="AI49">
        <f t="shared" si="0"/>
        <v>30</v>
      </c>
      <c r="AJ49">
        <f t="shared" si="1"/>
        <v>1</v>
      </c>
    </row>
    <row r="50" spans="1:36" x14ac:dyDescent="0.25">
      <c r="A50" s="177"/>
      <c r="B50">
        <v>49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2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f t="shared" si="2"/>
        <v>2</v>
      </c>
      <c r="AI50">
        <f t="shared" si="0"/>
        <v>30</v>
      </c>
      <c r="AJ50">
        <f t="shared" si="1"/>
        <v>1</v>
      </c>
    </row>
    <row r="51" spans="1:36" x14ac:dyDescent="0.25">
      <c r="A51" s="177"/>
      <c r="B51">
        <v>50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f t="shared" si="2"/>
        <v>0</v>
      </c>
      <c r="AI51">
        <f t="shared" si="0"/>
        <v>31</v>
      </c>
      <c r="AJ51">
        <f t="shared" si="1"/>
        <v>0</v>
      </c>
    </row>
    <row r="52" spans="1:36" x14ac:dyDescent="0.25">
      <c r="A52" s="177"/>
      <c r="B52">
        <v>51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f t="shared" si="2"/>
        <v>0</v>
      </c>
      <c r="AI52">
        <f t="shared" si="0"/>
        <v>31</v>
      </c>
      <c r="AJ52">
        <f t="shared" si="1"/>
        <v>0</v>
      </c>
    </row>
    <row r="53" spans="1:36" x14ac:dyDescent="0.25">
      <c r="A53" s="177"/>
      <c r="B53">
        <v>52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f t="shared" si="2"/>
        <v>0</v>
      </c>
      <c r="AI53">
        <f t="shared" si="0"/>
        <v>31</v>
      </c>
      <c r="AJ53">
        <f t="shared" si="1"/>
        <v>0</v>
      </c>
    </row>
    <row r="54" spans="1:36" x14ac:dyDescent="0.25">
      <c r="A54" s="177"/>
      <c r="B54">
        <v>53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4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f t="shared" si="2"/>
        <v>4</v>
      </c>
      <c r="AI54">
        <f t="shared" si="0"/>
        <v>30</v>
      </c>
      <c r="AJ54">
        <f t="shared" si="1"/>
        <v>1</v>
      </c>
    </row>
    <row r="55" spans="1:36" x14ac:dyDescent="0.25">
      <c r="A55" s="177"/>
      <c r="B55">
        <v>54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2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1</v>
      </c>
      <c r="AD55">
        <v>0</v>
      </c>
      <c r="AE55">
        <v>0</v>
      </c>
      <c r="AF55">
        <v>0</v>
      </c>
      <c r="AG55">
        <v>0</v>
      </c>
      <c r="AH55">
        <f t="shared" si="2"/>
        <v>3</v>
      </c>
      <c r="AI55">
        <f t="shared" si="0"/>
        <v>29</v>
      </c>
      <c r="AJ55">
        <f t="shared" si="1"/>
        <v>2</v>
      </c>
    </row>
    <row r="56" spans="1:36" x14ac:dyDescent="0.25">
      <c r="A56" s="177"/>
      <c r="B56">
        <v>55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2</v>
      </c>
      <c r="L56">
        <v>0</v>
      </c>
      <c r="M56">
        <v>6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f t="shared" si="2"/>
        <v>8</v>
      </c>
      <c r="AI56">
        <f t="shared" si="0"/>
        <v>29</v>
      </c>
      <c r="AJ56">
        <f t="shared" si="1"/>
        <v>2</v>
      </c>
    </row>
    <row r="57" spans="1:36" x14ac:dyDescent="0.25">
      <c r="A57" s="177"/>
      <c r="B57">
        <v>56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2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f t="shared" si="2"/>
        <v>2</v>
      </c>
      <c r="AI57">
        <f t="shared" si="0"/>
        <v>30</v>
      </c>
      <c r="AJ57">
        <f t="shared" si="1"/>
        <v>1</v>
      </c>
    </row>
    <row r="58" spans="1:36" x14ac:dyDescent="0.25">
      <c r="A58" s="177"/>
      <c r="B58">
        <v>57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f t="shared" si="2"/>
        <v>0</v>
      </c>
      <c r="AI58">
        <f t="shared" si="0"/>
        <v>31</v>
      </c>
      <c r="AJ58">
        <f t="shared" si="1"/>
        <v>0</v>
      </c>
    </row>
    <row r="59" spans="1:36" x14ac:dyDescent="0.25">
      <c r="A59" s="177"/>
      <c r="B59">
        <v>58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f t="shared" si="2"/>
        <v>0</v>
      </c>
      <c r="AI59">
        <f t="shared" si="0"/>
        <v>31</v>
      </c>
      <c r="AJ59">
        <f t="shared" si="1"/>
        <v>0</v>
      </c>
    </row>
    <row r="60" spans="1:36" x14ac:dyDescent="0.25">
      <c r="A60" s="177"/>
      <c r="B60">
        <v>59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2</v>
      </c>
      <c r="Z60">
        <v>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f t="shared" si="2"/>
        <v>3</v>
      </c>
      <c r="AI60">
        <f t="shared" si="0"/>
        <v>29</v>
      </c>
      <c r="AJ60">
        <f t="shared" si="1"/>
        <v>2</v>
      </c>
    </row>
    <row r="61" spans="1:36" x14ac:dyDescent="0.25">
      <c r="A61" s="177"/>
      <c r="B61">
        <v>60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f t="shared" si="2"/>
        <v>0</v>
      </c>
      <c r="AI61">
        <f t="shared" si="0"/>
        <v>31</v>
      </c>
      <c r="AJ61">
        <f t="shared" si="1"/>
        <v>0</v>
      </c>
    </row>
    <row r="62" spans="1:36" x14ac:dyDescent="0.25">
      <c r="A62" s="177"/>
      <c r="B62">
        <v>61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4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f t="shared" si="2"/>
        <v>4</v>
      </c>
      <c r="AI62">
        <f t="shared" si="0"/>
        <v>30</v>
      </c>
      <c r="AJ62">
        <f t="shared" si="1"/>
        <v>1</v>
      </c>
    </row>
    <row r="63" spans="1:36" x14ac:dyDescent="0.25">
      <c r="A63" s="177"/>
      <c r="B63">
        <v>62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f t="shared" si="2"/>
        <v>0</v>
      </c>
      <c r="AI63">
        <f t="shared" si="0"/>
        <v>31</v>
      </c>
      <c r="AJ63">
        <f t="shared" si="1"/>
        <v>0</v>
      </c>
    </row>
    <row r="64" spans="1:36" x14ac:dyDescent="0.25">
      <c r="A64" s="177"/>
      <c r="B64">
        <v>63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2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2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f t="shared" si="2"/>
        <v>4</v>
      </c>
      <c r="AI64">
        <f t="shared" si="0"/>
        <v>29</v>
      </c>
      <c r="AJ64">
        <f t="shared" si="1"/>
        <v>2</v>
      </c>
    </row>
    <row r="65" spans="1:36" x14ac:dyDescent="0.25">
      <c r="A65" s="177"/>
      <c r="B65">
        <v>64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3</v>
      </c>
      <c r="AF65">
        <v>0</v>
      </c>
      <c r="AG65">
        <v>0</v>
      </c>
      <c r="AH65">
        <f t="shared" si="2"/>
        <v>3</v>
      </c>
      <c r="AI65">
        <f t="shared" si="0"/>
        <v>30</v>
      </c>
      <c r="AJ65">
        <f t="shared" si="1"/>
        <v>1</v>
      </c>
    </row>
    <row r="66" spans="1:36" x14ac:dyDescent="0.25">
      <c r="A66" s="177"/>
      <c r="B66">
        <v>65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f t="shared" si="2"/>
        <v>2</v>
      </c>
      <c r="AI66">
        <f t="shared" si="0"/>
        <v>30</v>
      </c>
      <c r="AJ66">
        <f t="shared" si="1"/>
        <v>1</v>
      </c>
    </row>
    <row r="67" spans="1:36" x14ac:dyDescent="0.25">
      <c r="A67" s="177"/>
      <c r="B67">
        <v>66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f t="shared" ref="AH67:AH130" si="3">SUM(C67:AG67)</f>
        <v>1</v>
      </c>
      <c r="AI67">
        <f t="shared" ref="AI67:AI130" si="4">COUNTIF(C67:AG67,0)</f>
        <v>30</v>
      </c>
      <c r="AJ67">
        <f t="shared" ref="AJ67:AJ130" si="5">31-AI67</f>
        <v>1</v>
      </c>
    </row>
    <row r="68" spans="1:36" x14ac:dyDescent="0.25">
      <c r="A68" s="177"/>
      <c r="B68">
        <v>67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>
        <v>0</v>
      </c>
      <c r="AG68">
        <v>0</v>
      </c>
      <c r="AH68">
        <f t="shared" si="3"/>
        <v>1</v>
      </c>
      <c r="AI68">
        <f t="shared" si="4"/>
        <v>30</v>
      </c>
      <c r="AJ68">
        <f t="shared" si="5"/>
        <v>1</v>
      </c>
    </row>
    <row r="69" spans="1:36" x14ac:dyDescent="0.25">
      <c r="A69" s="177"/>
      <c r="B69">
        <v>68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f t="shared" si="3"/>
        <v>3</v>
      </c>
      <c r="AI69">
        <f t="shared" si="4"/>
        <v>30</v>
      </c>
      <c r="AJ69">
        <f t="shared" si="5"/>
        <v>1</v>
      </c>
    </row>
    <row r="70" spans="1:36" x14ac:dyDescent="0.25">
      <c r="A70" s="177"/>
      <c r="B70">
        <v>69</v>
      </c>
      <c r="C70">
        <v>0</v>
      </c>
      <c r="D70">
        <v>0</v>
      </c>
      <c r="E70">
        <v>2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f t="shared" si="3"/>
        <v>2</v>
      </c>
      <c r="AI70">
        <f t="shared" si="4"/>
        <v>30</v>
      </c>
      <c r="AJ70">
        <f t="shared" si="5"/>
        <v>1</v>
      </c>
    </row>
    <row r="71" spans="1:36" x14ac:dyDescent="0.25">
      <c r="A71" s="177"/>
      <c r="B71">
        <v>70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f t="shared" si="3"/>
        <v>1</v>
      </c>
      <c r="AI71">
        <f t="shared" si="4"/>
        <v>30</v>
      </c>
      <c r="AJ71">
        <f t="shared" si="5"/>
        <v>1</v>
      </c>
    </row>
    <row r="72" spans="1:36" x14ac:dyDescent="0.25">
      <c r="A72" s="177"/>
      <c r="B72">
        <v>71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3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f t="shared" si="3"/>
        <v>3</v>
      </c>
      <c r="AI72">
        <f t="shared" si="4"/>
        <v>30</v>
      </c>
      <c r="AJ72">
        <f t="shared" si="5"/>
        <v>1</v>
      </c>
    </row>
    <row r="73" spans="1:36" x14ac:dyDescent="0.25">
      <c r="A73" s="177"/>
      <c r="B73">
        <v>72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2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f t="shared" si="3"/>
        <v>2</v>
      </c>
      <c r="AI73">
        <f t="shared" si="4"/>
        <v>30</v>
      </c>
      <c r="AJ73">
        <f t="shared" si="5"/>
        <v>1</v>
      </c>
    </row>
    <row r="74" spans="1:36" x14ac:dyDescent="0.25">
      <c r="A74" s="177"/>
      <c r="B74">
        <v>73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f t="shared" si="3"/>
        <v>0</v>
      </c>
      <c r="AI74">
        <f t="shared" si="4"/>
        <v>31</v>
      </c>
      <c r="AJ74">
        <f t="shared" si="5"/>
        <v>0</v>
      </c>
    </row>
    <row r="75" spans="1:36" x14ac:dyDescent="0.25">
      <c r="A75" s="177"/>
      <c r="B75">
        <v>74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f t="shared" si="3"/>
        <v>0</v>
      </c>
      <c r="AI75">
        <f t="shared" si="4"/>
        <v>31</v>
      </c>
      <c r="AJ75">
        <f t="shared" si="5"/>
        <v>0</v>
      </c>
    </row>
    <row r="76" spans="1:36" x14ac:dyDescent="0.25">
      <c r="A76" s="177"/>
      <c r="B76">
        <v>75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f t="shared" si="3"/>
        <v>0</v>
      </c>
      <c r="AI76">
        <f t="shared" si="4"/>
        <v>31</v>
      </c>
      <c r="AJ76">
        <f t="shared" si="5"/>
        <v>0</v>
      </c>
    </row>
    <row r="77" spans="1:36" x14ac:dyDescent="0.25">
      <c r="A77" s="177"/>
      <c r="B77">
        <v>76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f t="shared" si="3"/>
        <v>0</v>
      </c>
      <c r="AI77">
        <f t="shared" si="4"/>
        <v>31</v>
      </c>
      <c r="AJ77">
        <f t="shared" si="5"/>
        <v>0</v>
      </c>
    </row>
    <row r="78" spans="1:36" x14ac:dyDescent="0.25">
      <c r="A78" s="177"/>
      <c r="B78">
        <v>77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f t="shared" si="3"/>
        <v>0</v>
      </c>
      <c r="AI78">
        <f t="shared" si="4"/>
        <v>31</v>
      </c>
      <c r="AJ78">
        <f t="shared" si="5"/>
        <v>0</v>
      </c>
    </row>
    <row r="79" spans="1:36" x14ac:dyDescent="0.25">
      <c r="A79" s="177"/>
      <c r="B79">
        <v>78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2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f t="shared" si="3"/>
        <v>2</v>
      </c>
      <c r="AI79">
        <f t="shared" si="4"/>
        <v>30</v>
      </c>
      <c r="AJ79">
        <f t="shared" si="5"/>
        <v>1</v>
      </c>
    </row>
    <row r="80" spans="1:36" x14ac:dyDescent="0.25">
      <c r="A80" s="177"/>
      <c r="B80">
        <v>79</v>
      </c>
      <c r="C80">
        <v>1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f t="shared" si="3"/>
        <v>1</v>
      </c>
      <c r="AI80">
        <f t="shared" si="4"/>
        <v>30</v>
      </c>
      <c r="AJ80">
        <f t="shared" si="5"/>
        <v>1</v>
      </c>
    </row>
    <row r="81" spans="1:36" x14ac:dyDescent="0.25">
      <c r="A81" s="177"/>
      <c r="B81">
        <v>80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3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f t="shared" si="3"/>
        <v>3</v>
      </c>
      <c r="AI81">
        <f t="shared" si="4"/>
        <v>30</v>
      </c>
      <c r="AJ81">
        <f t="shared" si="5"/>
        <v>1</v>
      </c>
    </row>
    <row r="82" spans="1:36" s="108" customFormat="1" x14ac:dyDescent="0.25">
      <c r="A82" s="124"/>
      <c r="C82" s="108">
        <f>SUM(C2:C81)</f>
        <v>1</v>
      </c>
      <c r="D82" s="108">
        <f t="shared" ref="D82:AF82" si="6">SUM(D2:D81)</f>
        <v>1</v>
      </c>
      <c r="E82" s="108">
        <f t="shared" si="6"/>
        <v>6</v>
      </c>
      <c r="F82" s="108">
        <f t="shared" si="6"/>
        <v>0</v>
      </c>
      <c r="G82" s="108">
        <f t="shared" si="6"/>
        <v>4</v>
      </c>
      <c r="H82" s="108">
        <f t="shared" si="6"/>
        <v>0</v>
      </c>
      <c r="I82" s="108">
        <f t="shared" si="6"/>
        <v>7</v>
      </c>
      <c r="J82" s="108">
        <f t="shared" si="6"/>
        <v>0</v>
      </c>
      <c r="K82" s="108">
        <f t="shared" si="6"/>
        <v>10</v>
      </c>
      <c r="L82" s="108">
        <f t="shared" si="6"/>
        <v>1</v>
      </c>
      <c r="M82" s="108">
        <f t="shared" si="6"/>
        <v>43</v>
      </c>
      <c r="N82" s="108">
        <f t="shared" si="6"/>
        <v>17</v>
      </c>
      <c r="O82" s="108">
        <f t="shared" si="6"/>
        <v>34</v>
      </c>
      <c r="P82" s="108">
        <f t="shared" si="6"/>
        <v>1</v>
      </c>
      <c r="Q82" s="108">
        <f t="shared" si="6"/>
        <v>0</v>
      </c>
      <c r="R82" s="108">
        <f t="shared" si="6"/>
        <v>0</v>
      </c>
      <c r="S82" s="108">
        <f t="shared" si="6"/>
        <v>0</v>
      </c>
      <c r="T82" s="108">
        <f t="shared" si="6"/>
        <v>0</v>
      </c>
      <c r="U82" s="108">
        <f t="shared" si="6"/>
        <v>0</v>
      </c>
      <c r="V82" s="108">
        <f t="shared" si="6"/>
        <v>0</v>
      </c>
      <c r="W82" s="108">
        <f t="shared" si="6"/>
        <v>0</v>
      </c>
      <c r="X82" s="108">
        <f t="shared" si="6"/>
        <v>26</v>
      </c>
      <c r="Y82" s="108">
        <f t="shared" si="6"/>
        <v>4</v>
      </c>
      <c r="Z82" s="108">
        <f t="shared" si="6"/>
        <v>2</v>
      </c>
      <c r="AA82" s="108">
        <f t="shared" si="6"/>
        <v>0</v>
      </c>
      <c r="AB82" s="108">
        <f t="shared" si="6"/>
        <v>0</v>
      </c>
      <c r="AC82" s="108">
        <f t="shared" si="6"/>
        <v>1</v>
      </c>
      <c r="AD82" s="108">
        <f t="shared" si="6"/>
        <v>1</v>
      </c>
      <c r="AE82" s="108">
        <f t="shared" si="6"/>
        <v>3</v>
      </c>
      <c r="AF82" s="108">
        <f t="shared" si="6"/>
        <v>7</v>
      </c>
      <c r="AG82" s="108">
        <f>SUM(AG3:AG81)</f>
        <v>41</v>
      </c>
      <c r="AH82" s="108">
        <f t="shared" si="3"/>
        <v>210</v>
      </c>
      <c r="AI82" s="108">
        <f t="shared" si="4"/>
        <v>12</v>
      </c>
      <c r="AJ82" s="108">
        <f t="shared" si="5"/>
        <v>19</v>
      </c>
    </row>
    <row r="83" spans="1:36" x14ac:dyDescent="0.25">
      <c r="A83" s="177">
        <v>2</v>
      </c>
      <c r="B83">
        <v>1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2</v>
      </c>
      <c r="P83">
        <v>1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f t="shared" si="3"/>
        <v>3</v>
      </c>
      <c r="AI83">
        <f t="shared" si="4"/>
        <v>29</v>
      </c>
      <c r="AJ83">
        <f t="shared" si="5"/>
        <v>2</v>
      </c>
    </row>
    <row r="84" spans="1:36" x14ac:dyDescent="0.25">
      <c r="A84" s="177"/>
      <c r="B84">
        <v>2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f t="shared" si="3"/>
        <v>0</v>
      </c>
      <c r="AI84">
        <f t="shared" si="4"/>
        <v>31</v>
      </c>
      <c r="AJ84">
        <f t="shared" si="5"/>
        <v>0</v>
      </c>
    </row>
    <row r="85" spans="1:36" x14ac:dyDescent="0.25">
      <c r="A85" s="177"/>
      <c r="B85">
        <v>3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f t="shared" si="3"/>
        <v>0</v>
      </c>
      <c r="AI85">
        <f t="shared" si="4"/>
        <v>31</v>
      </c>
      <c r="AJ85">
        <f t="shared" si="5"/>
        <v>0</v>
      </c>
    </row>
    <row r="86" spans="1:36" x14ac:dyDescent="0.25">
      <c r="A86" s="177"/>
      <c r="B86">
        <v>4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0</v>
      </c>
      <c r="O86">
        <v>1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f t="shared" si="3"/>
        <v>3</v>
      </c>
      <c r="AI86">
        <f t="shared" si="4"/>
        <v>29</v>
      </c>
      <c r="AJ86">
        <f t="shared" si="5"/>
        <v>2</v>
      </c>
    </row>
    <row r="87" spans="1:36" x14ac:dyDescent="0.25">
      <c r="A87" s="177"/>
      <c r="B87">
        <v>5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f t="shared" si="3"/>
        <v>0</v>
      </c>
      <c r="AI87">
        <f t="shared" si="4"/>
        <v>31</v>
      </c>
      <c r="AJ87">
        <f t="shared" si="5"/>
        <v>0</v>
      </c>
    </row>
    <row r="88" spans="1:36" x14ac:dyDescent="0.25">
      <c r="A88" s="177"/>
      <c r="B88">
        <v>6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f t="shared" si="3"/>
        <v>0</v>
      </c>
      <c r="AI88">
        <f t="shared" si="4"/>
        <v>31</v>
      </c>
      <c r="AJ88">
        <f t="shared" si="5"/>
        <v>0</v>
      </c>
    </row>
    <row r="89" spans="1:36" x14ac:dyDescent="0.25">
      <c r="A89" s="177"/>
      <c r="B89" s="121">
        <v>7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0</v>
      </c>
      <c r="U89">
        <v>0</v>
      </c>
      <c r="V89">
        <v>0</v>
      </c>
      <c r="W89">
        <v>0</v>
      </c>
      <c r="X89">
        <v>1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f t="shared" si="3"/>
        <v>3</v>
      </c>
      <c r="AI89">
        <f t="shared" si="4"/>
        <v>29</v>
      </c>
      <c r="AJ89">
        <f t="shared" si="5"/>
        <v>2</v>
      </c>
    </row>
    <row r="90" spans="1:36" x14ac:dyDescent="0.25">
      <c r="A90" s="177"/>
      <c r="B90">
        <v>8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2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f t="shared" si="3"/>
        <v>2</v>
      </c>
      <c r="AI90">
        <f t="shared" si="4"/>
        <v>30</v>
      </c>
      <c r="AJ90">
        <f t="shared" si="5"/>
        <v>1</v>
      </c>
    </row>
    <row r="91" spans="1:36" x14ac:dyDescent="0.25">
      <c r="A91" s="177"/>
      <c r="B91">
        <v>9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f t="shared" si="3"/>
        <v>0</v>
      </c>
      <c r="AI91">
        <f t="shared" si="4"/>
        <v>31</v>
      </c>
      <c r="AJ91">
        <f t="shared" si="5"/>
        <v>0</v>
      </c>
    </row>
    <row r="92" spans="1:36" x14ac:dyDescent="0.25">
      <c r="A92" s="177"/>
      <c r="B92">
        <v>10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f t="shared" si="3"/>
        <v>0</v>
      </c>
      <c r="AI92">
        <f t="shared" si="4"/>
        <v>31</v>
      </c>
      <c r="AJ92">
        <f t="shared" si="5"/>
        <v>0</v>
      </c>
    </row>
    <row r="93" spans="1:36" x14ac:dyDescent="0.25">
      <c r="A93" s="177"/>
      <c r="B93">
        <v>11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f t="shared" si="3"/>
        <v>0</v>
      </c>
      <c r="AI93">
        <f t="shared" si="4"/>
        <v>31</v>
      </c>
      <c r="AJ93">
        <f t="shared" si="5"/>
        <v>0</v>
      </c>
    </row>
    <row r="94" spans="1:36" x14ac:dyDescent="0.25">
      <c r="A94" s="177"/>
      <c r="B94">
        <v>12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f t="shared" si="3"/>
        <v>0</v>
      </c>
      <c r="AI94">
        <f t="shared" si="4"/>
        <v>31</v>
      </c>
      <c r="AJ94">
        <f t="shared" si="5"/>
        <v>0</v>
      </c>
    </row>
    <row r="95" spans="1:36" x14ac:dyDescent="0.25">
      <c r="A95" s="177"/>
      <c r="B95">
        <v>13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1</v>
      </c>
      <c r="AH95">
        <f t="shared" si="3"/>
        <v>1</v>
      </c>
      <c r="AI95">
        <f t="shared" si="4"/>
        <v>30</v>
      </c>
      <c r="AJ95">
        <f t="shared" si="5"/>
        <v>1</v>
      </c>
    </row>
    <row r="96" spans="1:36" x14ac:dyDescent="0.25">
      <c r="A96" s="177"/>
      <c r="B96">
        <v>14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f t="shared" si="3"/>
        <v>0</v>
      </c>
      <c r="AI96">
        <f t="shared" si="4"/>
        <v>31</v>
      </c>
      <c r="AJ96">
        <f t="shared" si="5"/>
        <v>0</v>
      </c>
    </row>
    <row r="97" spans="1:36" x14ac:dyDescent="0.25">
      <c r="A97" s="177"/>
      <c r="B97">
        <v>15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1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f t="shared" si="3"/>
        <v>1</v>
      </c>
      <c r="AI97">
        <f t="shared" si="4"/>
        <v>30</v>
      </c>
      <c r="AJ97">
        <f t="shared" si="5"/>
        <v>1</v>
      </c>
    </row>
    <row r="98" spans="1:36" x14ac:dyDescent="0.25">
      <c r="A98" s="177"/>
      <c r="B98">
        <v>16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f t="shared" si="3"/>
        <v>0</v>
      </c>
      <c r="AI98">
        <f t="shared" si="4"/>
        <v>31</v>
      </c>
      <c r="AJ98">
        <f t="shared" si="5"/>
        <v>0</v>
      </c>
    </row>
    <row r="99" spans="1:36" x14ac:dyDescent="0.25">
      <c r="A99" s="177"/>
      <c r="B99">
        <v>17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1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f t="shared" si="3"/>
        <v>1</v>
      </c>
      <c r="AI99">
        <f t="shared" si="4"/>
        <v>30</v>
      </c>
      <c r="AJ99">
        <f t="shared" si="5"/>
        <v>1</v>
      </c>
    </row>
    <row r="100" spans="1:36" x14ac:dyDescent="0.25">
      <c r="A100" s="177"/>
      <c r="B100">
        <v>18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f t="shared" si="3"/>
        <v>0</v>
      </c>
      <c r="AI100">
        <f t="shared" si="4"/>
        <v>31</v>
      </c>
      <c r="AJ100">
        <f t="shared" si="5"/>
        <v>0</v>
      </c>
    </row>
    <row r="101" spans="1:36" x14ac:dyDescent="0.25">
      <c r="A101" s="177"/>
      <c r="B101">
        <v>19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f t="shared" si="3"/>
        <v>0</v>
      </c>
      <c r="AI101">
        <f t="shared" si="4"/>
        <v>31</v>
      </c>
      <c r="AJ101">
        <f t="shared" si="5"/>
        <v>0</v>
      </c>
    </row>
    <row r="102" spans="1:36" x14ac:dyDescent="0.25">
      <c r="A102" s="177"/>
      <c r="B102">
        <v>20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f t="shared" si="3"/>
        <v>0</v>
      </c>
      <c r="AI102">
        <f t="shared" si="4"/>
        <v>31</v>
      </c>
      <c r="AJ102">
        <f t="shared" si="5"/>
        <v>0</v>
      </c>
    </row>
    <row r="103" spans="1:36" x14ac:dyDescent="0.25">
      <c r="A103" s="177"/>
      <c r="B103">
        <v>21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f t="shared" si="3"/>
        <v>0</v>
      </c>
      <c r="AI103">
        <f t="shared" si="4"/>
        <v>31</v>
      </c>
      <c r="AJ103">
        <f t="shared" si="5"/>
        <v>0</v>
      </c>
    </row>
    <row r="104" spans="1:36" x14ac:dyDescent="0.25">
      <c r="A104" s="177"/>
      <c r="B104">
        <v>22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f t="shared" si="3"/>
        <v>0</v>
      </c>
      <c r="AI104">
        <f t="shared" si="4"/>
        <v>31</v>
      </c>
      <c r="AJ104">
        <f t="shared" si="5"/>
        <v>0</v>
      </c>
    </row>
    <row r="105" spans="1:36" x14ac:dyDescent="0.25">
      <c r="A105" s="177"/>
      <c r="B105">
        <v>23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f t="shared" si="3"/>
        <v>2</v>
      </c>
      <c r="AI105">
        <f t="shared" si="4"/>
        <v>30</v>
      </c>
      <c r="AJ105">
        <f t="shared" si="5"/>
        <v>1</v>
      </c>
    </row>
    <row r="106" spans="1:36" x14ac:dyDescent="0.25">
      <c r="A106" s="177"/>
      <c r="B106">
        <v>24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f t="shared" si="3"/>
        <v>0</v>
      </c>
      <c r="AI106">
        <f t="shared" si="4"/>
        <v>31</v>
      </c>
      <c r="AJ106">
        <f t="shared" si="5"/>
        <v>0</v>
      </c>
    </row>
    <row r="107" spans="1:36" x14ac:dyDescent="0.25">
      <c r="A107" s="177"/>
      <c r="B107">
        <v>25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3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f t="shared" si="3"/>
        <v>3</v>
      </c>
      <c r="AI107">
        <f t="shared" si="4"/>
        <v>30</v>
      </c>
      <c r="AJ107">
        <f t="shared" si="5"/>
        <v>1</v>
      </c>
    </row>
    <row r="108" spans="1:36" x14ac:dyDescent="0.25">
      <c r="A108" s="177"/>
      <c r="B108">
        <v>26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4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f t="shared" si="3"/>
        <v>4</v>
      </c>
      <c r="AI108">
        <f t="shared" si="4"/>
        <v>30</v>
      </c>
      <c r="AJ108">
        <f t="shared" si="5"/>
        <v>1</v>
      </c>
    </row>
    <row r="109" spans="1:36" x14ac:dyDescent="0.25">
      <c r="A109" s="177"/>
      <c r="B109">
        <v>27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6</v>
      </c>
      <c r="O109">
        <v>7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f t="shared" si="3"/>
        <v>13</v>
      </c>
      <c r="AI109">
        <f t="shared" si="4"/>
        <v>29</v>
      </c>
      <c r="AJ109">
        <f t="shared" si="5"/>
        <v>2</v>
      </c>
    </row>
    <row r="110" spans="1:36" x14ac:dyDescent="0.25">
      <c r="A110" s="177"/>
      <c r="B110">
        <v>28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1</v>
      </c>
      <c r="M110">
        <v>0</v>
      </c>
      <c r="N110">
        <v>5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f t="shared" si="3"/>
        <v>6</v>
      </c>
      <c r="AI110">
        <f t="shared" si="4"/>
        <v>29</v>
      </c>
      <c r="AJ110">
        <f t="shared" si="5"/>
        <v>2</v>
      </c>
    </row>
    <row r="111" spans="1:36" x14ac:dyDescent="0.25">
      <c r="A111" s="177"/>
      <c r="B111">
        <v>29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f t="shared" si="3"/>
        <v>0</v>
      </c>
      <c r="AI111">
        <f t="shared" si="4"/>
        <v>31</v>
      </c>
      <c r="AJ111">
        <f t="shared" si="5"/>
        <v>0</v>
      </c>
    </row>
    <row r="112" spans="1:36" x14ac:dyDescent="0.25">
      <c r="A112" s="177"/>
      <c r="B112">
        <v>30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f t="shared" si="3"/>
        <v>0</v>
      </c>
      <c r="AI112">
        <f t="shared" si="4"/>
        <v>31</v>
      </c>
      <c r="AJ112">
        <f t="shared" si="5"/>
        <v>0</v>
      </c>
    </row>
    <row r="113" spans="1:36" x14ac:dyDescent="0.25">
      <c r="A113" s="177"/>
      <c r="B113">
        <v>31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f t="shared" si="3"/>
        <v>0</v>
      </c>
      <c r="AI113">
        <f t="shared" si="4"/>
        <v>31</v>
      </c>
      <c r="AJ113">
        <f t="shared" si="5"/>
        <v>0</v>
      </c>
    </row>
    <row r="114" spans="1:36" x14ac:dyDescent="0.25">
      <c r="A114" s="177"/>
      <c r="B114">
        <v>32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f t="shared" si="3"/>
        <v>0</v>
      </c>
      <c r="AI114">
        <f t="shared" si="4"/>
        <v>31</v>
      </c>
      <c r="AJ114">
        <f t="shared" si="5"/>
        <v>0</v>
      </c>
    </row>
    <row r="115" spans="1:36" x14ac:dyDescent="0.25">
      <c r="A115" s="177"/>
      <c r="B115">
        <v>33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f t="shared" si="3"/>
        <v>0</v>
      </c>
      <c r="AI115">
        <f t="shared" si="4"/>
        <v>31</v>
      </c>
      <c r="AJ115">
        <f t="shared" si="5"/>
        <v>0</v>
      </c>
    </row>
    <row r="116" spans="1:36" x14ac:dyDescent="0.25">
      <c r="A116" s="177"/>
      <c r="B116">
        <v>34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f t="shared" si="3"/>
        <v>0</v>
      </c>
      <c r="AI116">
        <f t="shared" si="4"/>
        <v>31</v>
      </c>
      <c r="AJ116">
        <f t="shared" si="5"/>
        <v>0</v>
      </c>
    </row>
    <row r="117" spans="1:36" x14ac:dyDescent="0.25">
      <c r="A117" s="177"/>
      <c r="B117">
        <v>35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6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1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f t="shared" si="3"/>
        <v>10</v>
      </c>
      <c r="AI117">
        <f t="shared" si="4"/>
        <v>28</v>
      </c>
      <c r="AJ117">
        <f t="shared" si="5"/>
        <v>3</v>
      </c>
    </row>
    <row r="118" spans="1:36" x14ac:dyDescent="0.25">
      <c r="A118" s="177"/>
      <c r="B118">
        <v>36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f t="shared" si="3"/>
        <v>0</v>
      </c>
      <c r="AI118">
        <f t="shared" si="4"/>
        <v>31</v>
      </c>
      <c r="AJ118">
        <f t="shared" si="5"/>
        <v>0</v>
      </c>
    </row>
    <row r="119" spans="1:36" x14ac:dyDescent="0.25">
      <c r="A119" s="177"/>
      <c r="B119">
        <v>37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3</v>
      </c>
      <c r="X119">
        <v>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f t="shared" si="3"/>
        <v>7</v>
      </c>
      <c r="AI119">
        <f t="shared" si="4"/>
        <v>29</v>
      </c>
      <c r="AJ119">
        <f t="shared" si="5"/>
        <v>2</v>
      </c>
    </row>
    <row r="120" spans="1:36" x14ac:dyDescent="0.25">
      <c r="A120" s="177"/>
      <c r="B120">
        <v>38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1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f t="shared" si="3"/>
        <v>1</v>
      </c>
      <c r="AI120">
        <f t="shared" si="4"/>
        <v>30</v>
      </c>
      <c r="AJ120">
        <f t="shared" si="5"/>
        <v>1</v>
      </c>
    </row>
    <row r="121" spans="1:36" x14ac:dyDescent="0.25">
      <c r="A121" s="177"/>
      <c r="B121">
        <v>39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11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f t="shared" si="3"/>
        <v>11</v>
      </c>
      <c r="AI121">
        <f t="shared" si="4"/>
        <v>30</v>
      </c>
      <c r="AJ121">
        <f t="shared" si="5"/>
        <v>1</v>
      </c>
    </row>
    <row r="122" spans="1:36" x14ac:dyDescent="0.25">
      <c r="A122" s="177"/>
      <c r="B122">
        <v>40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4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f t="shared" si="3"/>
        <v>4</v>
      </c>
      <c r="AI122">
        <f t="shared" si="4"/>
        <v>30</v>
      </c>
      <c r="AJ122">
        <f t="shared" si="5"/>
        <v>1</v>
      </c>
    </row>
    <row r="123" spans="1:36" x14ac:dyDescent="0.25">
      <c r="A123" s="177"/>
      <c r="B123">
        <v>41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f t="shared" si="3"/>
        <v>12</v>
      </c>
      <c r="AI123">
        <f t="shared" si="4"/>
        <v>30</v>
      </c>
      <c r="AJ123">
        <f t="shared" si="5"/>
        <v>1</v>
      </c>
    </row>
    <row r="124" spans="1:36" x14ac:dyDescent="0.25">
      <c r="A124" s="177"/>
      <c r="B124">
        <v>42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9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f t="shared" si="3"/>
        <v>9</v>
      </c>
      <c r="AI124">
        <f t="shared" si="4"/>
        <v>30</v>
      </c>
      <c r="AJ124">
        <f t="shared" si="5"/>
        <v>1</v>
      </c>
    </row>
    <row r="125" spans="1:36" x14ac:dyDescent="0.25">
      <c r="A125" s="177"/>
      <c r="B125">
        <v>43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f t="shared" si="3"/>
        <v>0</v>
      </c>
      <c r="AI125">
        <f t="shared" si="4"/>
        <v>31</v>
      </c>
      <c r="AJ125">
        <f t="shared" si="5"/>
        <v>0</v>
      </c>
    </row>
    <row r="126" spans="1:36" x14ac:dyDescent="0.25">
      <c r="A126" s="177"/>
      <c r="B126">
        <v>44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f t="shared" si="3"/>
        <v>0</v>
      </c>
      <c r="AI126">
        <f t="shared" si="4"/>
        <v>31</v>
      </c>
      <c r="AJ126">
        <f t="shared" si="5"/>
        <v>0</v>
      </c>
    </row>
    <row r="127" spans="1:36" x14ac:dyDescent="0.25">
      <c r="A127" s="177"/>
      <c r="B127">
        <v>45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5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f t="shared" si="3"/>
        <v>6</v>
      </c>
      <c r="AI127">
        <f t="shared" si="4"/>
        <v>29</v>
      </c>
      <c r="AJ127">
        <f t="shared" si="5"/>
        <v>2</v>
      </c>
    </row>
    <row r="128" spans="1:36" x14ac:dyDescent="0.25">
      <c r="A128" s="177"/>
      <c r="B128">
        <v>46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4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f t="shared" si="3"/>
        <v>5</v>
      </c>
      <c r="AI128">
        <f t="shared" si="4"/>
        <v>29</v>
      </c>
      <c r="AJ128">
        <f t="shared" si="5"/>
        <v>2</v>
      </c>
    </row>
    <row r="129" spans="1:36" x14ac:dyDescent="0.25">
      <c r="A129" s="177"/>
      <c r="B129">
        <v>47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5</v>
      </c>
      <c r="N129">
        <v>4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1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f t="shared" si="3"/>
        <v>10</v>
      </c>
      <c r="AI129">
        <f t="shared" si="4"/>
        <v>28</v>
      </c>
      <c r="AJ129">
        <f t="shared" si="5"/>
        <v>3</v>
      </c>
    </row>
    <row r="130" spans="1:36" x14ac:dyDescent="0.25">
      <c r="A130" s="177"/>
      <c r="B130">
        <v>48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f t="shared" si="3"/>
        <v>1</v>
      </c>
      <c r="AI130">
        <f t="shared" si="4"/>
        <v>30</v>
      </c>
      <c r="AJ130">
        <f t="shared" si="5"/>
        <v>1</v>
      </c>
    </row>
    <row r="131" spans="1:36" x14ac:dyDescent="0.25">
      <c r="A131" s="177"/>
      <c r="B131">
        <v>49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f t="shared" ref="AH131:AH194" si="7">SUM(C131:AG131)</f>
        <v>0</v>
      </c>
      <c r="AI131">
        <f t="shared" ref="AI131:AI194" si="8">COUNTIF(C131:AG131,0)</f>
        <v>31</v>
      </c>
      <c r="AJ131">
        <f t="shared" ref="AJ131:AJ194" si="9">31-AI131</f>
        <v>0</v>
      </c>
    </row>
    <row r="132" spans="1:36" x14ac:dyDescent="0.25">
      <c r="A132" s="177"/>
      <c r="B132">
        <v>50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f t="shared" si="7"/>
        <v>0</v>
      </c>
      <c r="AI132">
        <f t="shared" si="8"/>
        <v>31</v>
      </c>
      <c r="AJ132">
        <f t="shared" si="9"/>
        <v>0</v>
      </c>
    </row>
    <row r="133" spans="1:36" x14ac:dyDescent="0.25">
      <c r="A133" s="177"/>
      <c r="B133">
        <v>51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f t="shared" si="7"/>
        <v>0</v>
      </c>
      <c r="AI133">
        <f t="shared" si="8"/>
        <v>31</v>
      </c>
      <c r="AJ133">
        <f t="shared" si="9"/>
        <v>0</v>
      </c>
    </row>
    <row r="134" spans="1:36" x14ac:dyDescent="0.25">
      <c r="A134" s="177"/>
      <c r="B134">
        <v>52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f t="shared" si="7"/>
        <v>0</v>
      </c>
      <c r="AI134">
        <f t="shared" si="8"/>
        <v>31</v>
      </c>
      <c r="AJ134">
        <f t="shared" si="9"/>
        <v>0</v>
      </c>
    </row>
    <row r="135" spans="1:36" x14ac:dyDescent="0.25">
      <c r="A135" s="177"/>
      <c r="B135">
        <v>53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f t="shared" si="7"/>
        <v>1</v>
      </c>
      <c r="AI135">
        <f t="shared" si="8"/>
        <v>30</v>
      </c>
      <c r="AJ135">
        <f t="shared" si="9"/>
        <v>1</v>
      </c>
    </row>
    <row r="136" spans="1:36" x14ac:dyDescent="0.25">
      <c r="A136" s="177"/>
      <c r="B136">
        <v>54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f t="shared" si="7"/>
        <v>0</v>
      </c>
      <c r="AI136">
        <f t="shared" si="8"/>
        <v>31</v>
      </c>
      <c r="AJ136">
        <f t="shared" si="9"/>
        <v>0</v>
      </c>
    </row>
    <row r="137" spans="1:36" x14ac:dyDescent="0.25">
      <c r="A137" s="177"/>
      <c r="B137">
        <v>55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3</v>
      </c>
      <c r="AH137">
        <f t="shared" si="7"/>
        <v>3</v>
      </c>
      <c r="AI137">
        <f t="shared" si="8"/>
        <v>30</v>
      </c>
      <c r="AJ137">
        <f t="shared" si="9"/>
        <v>1</v>
      </c>
    </row>
    <row r="138" spans="1:36" x14ac:dyDescent="0.25">
      <c r="A138" s="177"/>
      <c r="B138">
        <v>56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f t="shared" si="7"/>
        <v>1</v>
      </c>
      <c r="AI138">
        <f t="shared" si="8"/>
        <v>30</v>
      </c>
      <c r="AJ138">
        <f t="shared" si="9"/>
        <v>1</v>
      </c>
    </row>
    <row r="139" spans="1:36" x14ac:dyDescent="0.25">
      <c r="A139" s="177"/>
      <c r="B139">
        <v>57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1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f t="shared" si="7"/>
        <v>1</v>
      </c>
      <c r="AI139">
        <f t="shared" si="8"/>
        <v>30</v>
      </c>
      <c r="AJ139">
        <f t="shared" si="9"/>
        <v>1</v>
      </c>
    </row>
    <row r="140" spans="1:36" x14ac:dyDescent="0.25">
      <c r="A140" s="177"/>
      <c r="B140">
        <v>58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1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f t="shared" si="7"/>
        <v>1</v>
      </c>
      <c r="AI140">
        <f t="shared" si="8"/>
        <v>30</v>
      </c>
      <c r="AJ140">
        <f t="shared" si="9"/>
        <v>1</v>
      </c>
    </row>
    <row r="141" spans="1:36" x14ac:dyDescent="0.25">
      <c r="A141" s="177"/>
      <c r="B141">
        <v>59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6</v>
      </c>
      <c r="AH141">
        <f t="shared" si="7"/>
        <v>6</v>
      </c>
      <c r="AI141">
        <f t="shared" si="8"/>
        <v>30</v>
      </c>
      <c r="AJ141">
        <f t="shared" si="9"/>
        <v>1</v>
      </c>
    </row>
    <row r="142" spans="1:36" x14ac:dyDescent="0.25">
      <c r="A142" s="177"/>
      <c r="B142">
        <v>60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f t="shared" si="7"/>
        <v>0</v>
      </c>
      <c r="AI142">
        <f t="shared" si="8"/>
        <v>31</v>
      </c>
      <c r="AJ142">
        <f t="shared" si="9"/>
        <v>0</v>
      </c>
    </row>
    <row r="143" spans="1:36" x14ac:dyDescent="0.25">
      <c r="A143" s="177"/>
      <c r="B143">
        <v>61</v>
      </c>
      <c r="C143">
        <v>1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f t="shared" si="7"/>
        <v>1</v>
      </c>
      <c r="AI143">
        <f t="shared" si="8"/>
        <v>30</v>
      </c>
      <c r="AJ143">
        <f t="shared" si="9"/>
        <v>1</v>
      </c>
    </row>
    <row r="144" spans="1:36" x14ac:dyDescent="0.25">
      <c r="A144" s="177"/>
      <c r="B144">
        <v>62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f t="shared" si="7"/>
        <v>0</v>
      </c>
      <c r="AI144">
        <f t="shared" si="8"/>
        <v>31</v>
      </c>
      <c r="AJ144">
        <f t="shared" si="9"/>
        <v>0</v>
      </c>
    </row>
    <row r="145" spans="1:36" x14ac:dyDescent="0.25">
      <c r="A145" s="177"/>
      <c r="B145">
        <v>63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1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f t="shared" si="7"/>
        <v>1</v>
      </c>
      <c r="AI145">
        <f t="shared" si="8"/>
        <v>30</v>
      </c>
      <c r="AJ145">
        <f t="shared" si="9"/>
        <v>1</v>
      </c>
    </row>
    <row r="146" spans="1:36" x14ac:dyDescent="0.25">
      <c r="A146" s="177"/>
      <c r="B146">
        <v>64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2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f t="shared" si="7"/>
        <v>2</v>
      </c>
      <c r="AI146">
        <f t="shared" si="8"/>
        <v>30</v>
      </c>
      <c r="AJ146">
        <f t="shared" si="9"/>
        <v>1</v>
      </c>
    </row>
    <row r="147" spans="1:36" x14ac:dyDescent="0.25">
      <c r="A147" s="177"/>
      <c r="B147" s="121">
        <v>65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2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3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f t="shared" si="7"/>
        <v>5</v>
      </c>
      <c r="AI147">
        <f t="shared" si="8"/>
        <v>29</v>
      </c>
      <c r="AJ147">
        <f t="shared" si="9"/>
        <v>2</v>
      </c>
    </row>
    <row r="148" spans="1:36" x14ac:dyDescent="0.25">
      <c r="A148" s="177"/>
      <c r="B148">
        <v>66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2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2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f t="shared" si="7"/>
        <v>4</v>
      </c>
      <c r="AI148">
        <f t="shared" si="8"/>
        <v>29</v>
      </c>
      <c r="AJ148">
        <f t="shared" si="9"/>
        <v>2</v>
      </c>
    </row>
    <row r="149" spans="1:36" x14ac:dyDescent="0.25">
      <c r="A149" s="177"/>
      <c r="B149">
        <v>67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5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1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f t="shared" si="7"/>
        <v>6</v>
      </c>
      <c r="AI149">
        <f t="shared" si="8"/>
        <v>29</v>
      </c>
      <c r="AJ149">
        <f t="shared" si="9"/>
        <v>2</v>
      </c>
    </row>
    <row r="150" spans="1:36" x14ac:dyDescent="0.25">
      <c r="A150" s="177"/>
      <c r="B150">
        <v>68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7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f t="shared" si="7"/>
        <v>8</v>
      </c>
      <c r="AI150">
        <f t="shared" si="8"/>
        <v>29</v>
      </c>
      <c r="AJ150">
        <f t="shared" si="9"/>
        <v>2</v>
      </c>
    </row>
    <row r="151" spans="1:36" x14ac:dyDescent="0.25">
      <c r="A151" s="177"/>
      <c r="B151">
        <v>69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3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2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1</v>
      </c>
      <c r="AD151">
        <v>0</v>
      </c>
      <c r="AE151">
        <v>0</v>
      </c>
      <c r="AF151">
        <v>0</v>
      </c>
      <c r="AG151">
        <v>0</v>
      </c>
      <c r="AH151">
        <f t="shared" si="7"/>
        <v>7</v>
      </c>
      <c r="AI151">
        <f t="shared" si="8"/>
        <v>27</v>
      </c>
      <c r="AJ151">
        <f t="shared" si="9"/>
        <v>4</v>
      </c>
    </row>
    <row r="152" spans="1:36" x14ac:dyDescent="0.25">
      <c r="A152" s="177"/>
      <c r="B152">
        <v>70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7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3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f t="shared" si="7"/>
        <v>10</v>
      </c>
      <c r="AI152">
        <f t="shared" si="8"/>
        <v>29</v>
      </c>
      <c r="AJ152">
        <f t="shared" si="9"/>
        <v>2</v>
      </c>
    </row>
    <row r="153" spans="1:36" x14ac:dyDescent="0.25">
      <c r="A153" s="177"/>
      <c r="B153">
        <v>71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4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1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f t="shared" si="7"/>
        <v>5</v>
      </c>
      <c r="AI153">
        <f t="shared" si="8"/>
        <v>29</v>
      </c>
      <c r="AJ153">
        <f t="shared" si="9"/>
        <v>2</v>
      </c>
    </row>
    <row r="154" spans="1:36" x14ac:dyDescent="0.25">
      <c r="A154" s="177"/>
      <c r="B154">
        <v>72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8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f t="shared" si="7"/>
        <v>9</v>
      </c>
      <c r="AI154">
        <f t="shared" si="8"/>
        <v>29</v>
      </c>
      <c r="AJ154">
        <f t="shared" si="9"/>
        <v>2</v>
      </c>
    </row>
    <row r="155" spans="1:36" x14ac:dyDescent="0.25">
      <c r="A155" s="177"/>
      <c r="B155">
        <v>73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5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7</v>
      </c>
      <c r="W155">
        <v>0</v>
      </c>
      <c r="X155">
        <v>1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f t="shared" si="7"/>
        <v>13</v>
      </c>
      <c r="AI155">
        <f t="shared" si="8"/>
        <v>28</v>
      </c>
      <c r="AJ155">
        <f t="shared" si="9"/>
        <v>3</v>
      </c>
    </row>
    <row r="156" spans="1:36" x14ac:dyDescent="0.25">
      <c r="A156" s="177"/>
      <c r="B156">
        <v>74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6</v>
      </c>
      <c r="N156">
        <v>14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1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f t="shared" si="7"/>
        <v>21</v>
      </c>
      <c r="AI156">
        <f t="shared" si="8"/>
        <v>28</v>
      </c>
      <c r="AJ156">
        <f t="shared" si="9"/>
        <v>3</v>
      </c>
    </row>
    <row r="157" spans="1:36" x14ac:dyDescent="0.25">
      <c r="A157" s="177"/>
      <c r="B157">
        <v>75</v>
      </c>
      <c r="C157">
        <v>0</v>
      </c>
      <c r="D157">
        <v>0</v>
      </c>
      <c r="E157">
        <v>3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16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1</v>
      </c>
      <c r="Y157">
        <v>0</v>
      </c>
      <c r="Z157">
        <v>0</v>
      </c>
      <c r="AA157">
        <v>0</v>
      </c>
      <c r="AB157">
        <v>0</v>
      </c>
      <c r="AC157">
        <v>2</v>
      </c>
      <c r="AD157">
        <v>0</v>
      </c>
      <c r="AE157">
        <v>0</v>
      </c>
      <c r="AF157">
        <v>0</v>
      </c>
      <c r="AG157">
        <v>0</v>
      </c>
      <c r="AH157">
        <f t="shared" si="7"/>
        <v>22</v>
      </c>
      <c r="AI157">
        <f t="shared" si="8"/>
        <v>27</v>
      </c>
      <c r="AJ157">
        <f t="shared" si="9"/>
        <v>4</v>
      </c>
    </row>
    <row r="158" spans="1:36" x14ac:dyDescent="0.25">
      <c r="A158" s="177"/>
      <c r="B158">
        <v>76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8</v>
      </c>
      <c r="Y158">
        <v>0</v>
      </c>
      <c r="Z158">
        <v>0</v>
      </c>
      <c r="AA158">
        <v>0</v>
      </c>
      <c r="AB158">
        <v>3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f t="shared" si="7"/>
        <v>11</v>
      </c>
      <c r="AI158">
        <f t="shared" si="8"/>
        <v>29</v>
      </c>
      <c r="AJ158">
        <f t="shared" si="9"/>
        <v>2</v>
      </c>
    </row>
    <row r="159" spans="1:36" x14ac:dyDescent="0.25">
      <c r="A159" s="177"/>
      <c r="B159">
        <v>77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11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2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1</v>
      </c>
      <c r="AH159">
        <f t="shared" si="7"/>
        <v>20</v>
      </c>
      <c r="AI159">
        <f t="shared" si="8"/>
        <v>25</v>
      </c>
      <c r="AJ159">
        <f t="shared" si="9"/>
        <v>6</v>
      </c>
    </row>
    <row r="160" spans="1:36" x14ac:dyDescent="0.25">
      <c r="A160" s="177"/>
      <c r="B160">
        <v>78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7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1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6</v>
      </c>
      <c r="AH160">
        <f t="shared" si="7"/>
        <v>16</v>
      </c>
      <c r="AI160">
        <f t="shared" si="8"/>
        <v>27</v>
      </c>
      <c r="AJ160">
        <f t="shared" si="9"/>
        <v>4</v>
      </c>
    </row>
    <row r="161" spans="1:36" x14ac:dyDescent="0.25">
      <c r="A161" s="177"/>
      <c r="B161">
        <v>79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8</v>
      </c>
      <c r="N161">
        <v>0</v>
      </c>
      <c r="O161">
        <v>0</v>
      </c>
      <c r="P161">
        <v>1</v>
      </c>
      <c r="Q161">
        <v>1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1</v>
      </c>
      <c r="AD161">
        <v>0</v>
      </c>
      <c r="AE161">
        <v>0</v>
      </c>
      <c r="AF161">
        <v>0</v>
      </c>
      <c r="AG161">
        <v>3</v>
      </c>
      <c r="AH161">
        <f t="shared" si="7"/>
        <v>15</v>
      </c>
      <c r="AI161">
        <f t="shared" si="8"/>
        <v>25</v>
      </c>
      <c r="AJ161">
        <f t="shared" si="9"/>
        <v>6</v>
      </c>
    </row>
    <row r="162" spans="1:36" x14ac:dyDescent="0.25">
      <c r="A162" s="177"/>
      <c r="B162">
        <v>80</v>
      </c>
      <c r="C162">
        <v>0</v>
      </c>
      <c r="D162">
        <v>0</v>
      </c>
      <c r="E162">
        <v>0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5</v>
      </c>
      <c r="O162">
        <v>0</v>
      </c>
      <c r="P162">
        <v>0</v>
      </c>
      <c r="Q162">
        <v>3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7</v>
      </c>
      <c r="AH162">
        <f t="shared" si="7"/>
        <v>18</v>
      </c>
      <c r="AI162">
        <f t="shared" si="8"/>
        <v>27</v>
      </c>
      <c r="AJ162">
        <f t="shared" si="9"/>
        <v>4</v>
      </c>
    </row>
    <row r="163" spans="1:36" s="108" customFormat="1" x14ac:dyDescent="0.25">
      <c r="C163" s="108">
        <f>SUM(C83:C162)</f>
        <v>1</v>
      </c>
      <c r="D163" s="108">
        <f t="shared" ref="D163:AG163" si="10">SUM(D83:D162)</f>
        <v>0</v>
      </c>
      <c r="E163" s="108">
        <f t="shared" si="10"/>
        <v>3</v>
      </c>
      <c r="F163" s="108">
        <f t="shared" si="10"/>
        <v>3</v>
      </c>
      <c r="G163" s="108">
        <f t="shared" si="10"/>
        <v>0</v>
      </c>
      <c r="H163" s="108">
        <f t="shared" si="10"/>
        <v>0</v>
      </c>
      <c r="I163" s="108">
        <f t="shared" si="10"/>
        <v>2</v>
      </c>
      <c r="J163" s="108">
        <f t="shared" si="10"/>
        <v>5</v>
      </c>
      <c r="K163" s="108">
        <f t="shared" si="10"/>
        <v>36</v>
      </c>
      <c r="L163" s="108">
        <f t="shared" si="10"/>
        <v>2</v>
      </c>
      <c r="M163" s="108">
        <f t="shared" si="10"/>
        <v>97</v>
      </c>
      <c r="N163" s="108">
        <f t="shared" si="10"/>
        <v>59</v>
      </c>
      <c r="O163" s="108">
        <f t="shared" si="10"/>
        <v>13</v>
      </c>
      <c r="P163" s="108">
        <f t="shared" si="10"/>
        <v>2</v>
      </c>
      <c r="Q163" s="108">
        <f t="shared" si="10"/>
        <v>5</v>
      </c>
      <c r="R163" s="108">
        <f t="shared" si="10"/>
        <v>1</v>
      </c>
      <c r="S163" s="108">
        <f t="shared" si="10"/>
        <v>2</v>
      </c>
      <c r="T163" s="108">
        <f t="shared" si="10"/>
        <v>4</v>
      </c>
      <c r="U163" s="108">
        <f t="shared" si="10"/>
        <v>1</v>
      </c>
      <c r="V163" s="108">
        <f t="shared" si="10"/>
        <v>13</v>
      </c>
      <c r="W163" s="108">
        <f t="shared" si="10"/>
        <v>3</v>
      </c>
      <c r="X163" s="108">
        <f t="shared" si="10"/>
        <v>34</v>
      </c>
      <c r="Y163" s="108">
        <f t="shared" si="10"/>
        <v>4</v>
      </c>
      <c r="Z163" s="108">
        <f t="shared" si="10"/>
        <v>0</v>
      </c>
      <c r="AA163" s="108">
        <f t="shared" si="10"/>
        <v>1</v>
      </c>
      <c r="AB163" s="108">
        <f t="shared" si="10"/>
        <v>3</v>
      </c>
      <c r="AC163" s="108">
        <f t="shared" si="10"/>
        <v>4</v>
      </c>
      <c r="AD163" s="108">
        <f t="shared" si="10"/>
        <v>0</v>
      </c>
      <c r="AE163" s="108">
        <f t="shared" si="10"/>
        <v>0</v>
      </c>
      <c r="AF163" s="108">
        <f t="shared" si="10"/>
        <v>0</v>
      </c>
      <c r="AG163" s="108">
        <f t="shared" si="10"/>
        <v>27</v>
      </c>
      <c r="AH163" s="108">
        <f t="shared" si="7"/>
        <v>325</v>
      </c>
      <c r="AI163" s="108">
        <f t="shared" si="8"/>
        <v>7</v>
      </c>
      <c r="AJ163" s="108">
        <f t="shared" si="9"/>
        <v>24</v>
      </c>
    </row>
    <row r="164" spans="1:36" x14ac:dyDescent="0.25">
      <c r="A164" s="177">
        <v>3</v>
      </c>
      <c r="B164">
        <v>1</v>
      </c>
      <c r="C164">
        <v>0</v>
      </c>
      <c r="D164">
        <v>0</v>
      </c>
      <c r="E164">
        <v>0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1</v>
      </c>
      <c r="P164">
        <v>1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f t="shared" si="7"/>
        <v>10</v>
      </c>
      <c r="AI164">
        <f t="shared" si="8"/>
        <v>28</v>
      </c>
      <c r="AJ164">
        <f t="shared" si="9"/>
        <v>3</v>
      </c>
    </row>
    <row r="165" spans="1:36" x14ac:dyDescent="0.25">
      <c r="A165" s="177"/>
      <c r="B165">
        <v>2</v>
      </c>
      <c r="C165">
        <v>0</v>
      </c>
      <c r="D165">
        <v>0</v>
      </c>
      <c r="E165">
        <v>0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6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f t="shared" si="7"/>
        <v>7</v>
      </c>
      <c r="AI165">
        <f t="shared" si="8"/>
        <v>29</v>
      </c>
      <c r="AJ165">
        <f t="shared" si="9"/>
        <v>2</v>
      </c>
    </row>
    <row r="166" spans="1:36" x14ac:dyDescent="0.25">
      <c r="A166" s="177"/>
      <c r="B166">
        <v>3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4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f t="shared" si="7"/>
        <v>4</v>
      </c>
      <c r="AI166">
        <f t="shared" si="8"/>
        <v>30</v>
      </c>
      <c r="AJ166">
        <f t="shared" si="9"/>
        <v>1</v>
      </c>
    </row>
    <row r="167" spans="1:36" x14ac:dyDescent="0.25">
      <c r="A167" s="177"/>
      <c r="B167">
        <v>4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2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f t="shared" si="7"/>
        <v>2</v>
      </c>
      <c r="AI167">
        <f t="shared" si="8"/>
        <v>30</v>
      </c>
      <c r="AJ167">
        <f t="shared" si="9"/>
        <v>1</v>
      </c>
    </row>
    <row r="168" spans="1:36" x14ac:dyDescent="0.25">
      <c r="A168" s="177"/>
      <c r="B168">
        <v>5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1</v>
      </c>
      <c r="AD168">
        <v>0</v>
      </c>
      <c r="AE168">
        <v>0</v>
      </c>
      <c r="AF168">
        <v>12</v>
      </c>
      <c r="AG168">
        <v>0</v>
      </c>
      <c r="AH168">
        <f t="shared" si="7"/>
        <v>13</v>
      </c>
      <c r="AI168">
        <f t="shared" si="8"/>
        <v>29</v>
      </c>
      <c r="AJ168">
        <f t="shared" si="9"/>
        <v>2</v>
      </c>
    </row>
    <row r="169" spans="1:36" x14ac:dyDescent="0.25">
      <c r="A169" s="177"/>
      <c r="B169">
        <v>6</v>
      </c>
      <c r="C169">
        <v>0</v>
      </c>
      <c r="D169">
        <v>0</v>
      </c>
      <c r="E169">
        <v>0</v>
      </c>
      <c r="F169">
        <v>1</v>
      </c>
      <c r="G169">
        <v>0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1</v>
      </c>
      <c r="P169">
        <v>1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f t="shared" si="7"/>
        <v>5</v>
      </c>
      <c r="AI169">
        <f t="shared" si="8"/>
        <v>27</v>
      </c>
      <c r="AJ169">
        <f t="shared" si="9"/>
        <v>4</v>
      </c>
    </row>
    <row r="170" spans="1:36" x14ac:dyDescent="0.25">
      <c r="A170" s="177"/>
      <c r="B170">
        <v>7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3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f t="shared" si="7"/>
        <v>3</v>
      </c>
      <c r="AI170">
        <f t="shared" si="8"/>
        <v>30</v>
      </c>
      <c r="AJ170">
        <f t="shared" si="9"/>
        <v>1</v>
      </c>
    </row>
    <row r="171" spans="1:36" x14ac:dyDescent="0.25">
      <c r="A171" s="177"/>
      <c r="B171">
        <v>8</v>
      </c>
      <c r="C171">
        <v>0</v>
      </c>
      <c r="D171">
        <v>0</v>
      </c>
      <c r="E171">
        <v>0</v>
      </c>
      <c r="F171">
        <v>0</v>
      </c>
      <c r="G171">
        <v>4</v>
      </c>
      <c r="H171">
        <v>4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f t="shared" si="7"/>
        <v>8</v>
      </c>
      <c r="AI171">
        <f t="shared" si="8"/>
        <v>29</v>
      </c>
      <c r="AJ171">
        <f t="shared" si="9"/>
        <v>2</v>
      </c>
    </row>
    <row r="172" spans="1:36" x14ac:dyDescent="0.25">
      <c r="A172" s="177"/>
      <c r="B172">
        <v>9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3</v>
      </c>
      <c r="I172">
        <v>2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f t="shared" si="7"/>
        <v>5</v>
      </c>
      <c r="AI172">
        <f t="shared" si="8"/>
        <v>29</v>
      </c>
      <c r="AJ172">
        <f t="shared" si="9"/>
        <v>2</v>
      </c>
    </row>
    <row r="173" spans="1:36" x14ac:dyDescent="0.25">
      <c r="A173" s="177"/>
      <c r="B173">
        <v>10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3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f t="shared" si="7"/>
        <v>3</v>
      </c>
      <c r="AI173">
        <f t="shared" si="8"/>
        <v>30</v>
      </c>
      <c r="AJ173">
        <f t="shared" si="9"/>
        <v>1</v>
      </c>
    </row>
    <row r="174" spans="1:36" x14ac:dyDescent="0.25">
      <c r="A174" s="177"/>
      <c r="B174">
        <v>11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f t="shared" si="7"/>
        <v>1</v>
      </c>
      <c r="AI174">
        <f t="shared" si="8"/>
        <v>30</v>
      </c>
      <c r="AJ174">
        <f t="shared" si="9"/>
        <v>1</v>
      </c>
    </row>
    <row r="175" spans="1:36" x14ac:dyDescent="0.25">
      <c r="A175" s="177"/>
      <c r="B175">
        <v>12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6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f t="shared" si="7"/>
        <v>6</v>
      </c>
      <c r="AI175">
        <f t="shared" si="8"/>
        <v>30</v>
      </c>
      <c r="AJ175">
        <f t="shared" si="9"/>
        <v>1</v>
      </c>
    </row>
    <row r="176" spans="1:36" x14ac:dyDescent="0.25">
      <c r="A176" s="177"/>
      <c r="B176">
        <v>13</v>
      </c>
      <c r="C176">
        <v>0</v>
      </c>
      <c r="D176">
        <v>0</v>
      </c>
      <c r="E176">
        <v>0</v>
      </c>
      <c r="F176">
        <v>0</v>
      </c>
      <c r="G176">
        <v>2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1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f t="shared" si="7"/>
        <v>3</v>
      </c>
      <c r="AI176">
        <f t="shared" si="8"/>
        <v>29</v>
      </c>
      <c r="AJ176">
        <f t="shared" si="9"/>
        <v>2</v>
      </c>
    </row>
    <row r="177" spans="1:36" x14ac:dyDescent="0.25">
      <c r="A177" s="177"/>
      <c r="B177">
        <v>14</v>
      </c>
      <c r="C177">
        <v>0</v>
      </c>
      <c r="D177">
        <v>0</v>
      </c>
      <c r="E177">
        <v>0</v>
      </c>
      <c r="F177">
        <v>0</v>
      </c>
      <c r="G177">
        <v>1</v>
      </c>
      <c r="H177">
        <v>0</v>
      </c>
      <c r="I177">
        <v>1</v>
      </c>
      <c r="J177">
        <v>0</v>
      </c>
      <c r="K177">
        <v>3</v>
      </c>
      <c r="L177">
        <v>0</v>
      </c>
      <c r="M177">
        <v>0</v>
      </c>
      <c r="N177">
        <v>0</v>
      </c>
      <c r="O177">
        <v>1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f t="shared" si="7"/>
        <v>6</v>
      </c>
      <c r="AI177">
        <f t="shared" si="8"/>
        <v>27</v>
      </c>
      <c r="AJ177">
        <f t="shared" si="9"/>
        <v>4</v>
      </c>
    </row>
    <row r="178" spans="1:36" x14ac:dyDescent="0.25">
      <c r="A178" s="177"/>
      <c r="B178">
        <v>15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f t="shared" si="7"/>
        <v>1</v>
      </c>
      <c r="AI178">
        <f t="shared" si="8"/>
        <v>30</v>
      </c>
      <c r="AJ178">
        <f t="shared" si="9"/>
        <v>1</v>
      </c>
    </row>
    <row r="179" spans="1:36" x14ac:dyDescent="0.25">
      <c r="A179" s="177"/>
      <c r="B179">
        <v>16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1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1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f t="shared" si="7"/>
        <v>2</v>
      </c>
      <c r="AI179">
        <f t="shared" si="8"/>
        <v>29</v>
      </c>
      <c r="AJ179">
        <f t="shared" si="9"/>
        <v>2</v>
      </c>
    </row>
    <row r="180" spans="1:36" x14ac:dyDescent="0.25">
      <c r="A180" s="177"/>
      <c r="B180">
        <v>17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f t="shared" si="7"/>
        <v>0</v>
      </c>
      <c r="AI180">
        <f t="shared" si="8"/>
        <v>31</v>
      </c>
      <c r="AJ180">
        <f t="shared" si="9"/>
        <v>0</v>
      </c>
    </row>
    <row r="181" spans="1:36" x14ac:dyDescent="0.25">
      <c r="A181" s="177"/>
      <c r="B181">
        <v>18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f t="shared" si="7"/>
        <v>0</v>
      </c>
      <c r="AI181">
        <f t="shared" si="8"/>
        <v>31</v>
      </c>
      <c r="AJ181">
        <f t="shared" si="9"/>
        <v>0</v>
      </c>
    </row>
    <row r="182" spans="1:36" x14ac:dyDescent="0.25">
      <c r="A182" s="177"/>
      <c r="B182">
        <v>19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f t="shared" si="7"/>
        <v>0</v>
      </c>
      <c r="AI182">
        <f t="shared" si="8"/>
        <v>31</v>
      </c>
      <c r="AJ182">
        <f t="shared" si="9"/>
        <v>0</v>
      </c>
    </row>
    <row r="183" spans="1:36" x14ac:dyDescent="0.25">
      <c r="A183" s="177"/>
      <c r="B183">
        <v>20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5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1</v>
      </c>
      <c r="AH183">
        <f t="shared" si="7"/>
        <v>6</v>
      </c>
      <c r="AI183">
        <f t="shared" si="8"/>
        <v>29</v>
      </c>
      <c r="AJ183">
        <f t="shared" si="9"/>
        <v>2</v>
      </c>
    </row>
    <row r="184" spans="1:36" x14ac:dyDescent="0.25">
      <c r="A184" s="177"/>
      <c r="B184">
        <v>21</v>
      </c>
      <c r="C184">
        <v>0</v>
      </c>
      <c r="D184">
        <v>0</v>
      </c>
      <c r="E184">
        <v>1</v>
      </c>
      <c r="F184">
        <v>0</v>
      </c>
      <c r="G184">
        <v>0</v>
      </c>
      <c r="H184">
        <v>0</v>
      </c>
      <c r="I184">
        <v>8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f t="shared" si="7"/>
        <v>9</v>
      </c>
      <c r="AI184">
        <f t="shared" si="8"/>
        <v>29</v>
      </c>
      <c r="AJ184">
        <f t="shared" si="9"/>
        <v>2</v>
      </c>
    </row>
    <row r="185" spans="1:36" x14ac:dyDescent="0.25">
      <c r="A185" s="177"/>
      <c r="B185">
        <v>22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1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5</v>
      </c>
      <c r="AH185">
        <f t="shared" si="7"/>
        <v>6</v>
      </c>
      <c r="AI185">
        <f t="shared" si="8"/>
        <v>29</v>
      </c>
      <c r="AJ185">
        <f t="shared" si="9"/>
        <v>2</v>
      </c>
    </row>
    <row r="186" spans="1:36" x14ac:dyDescent="0.25">
      <c r="A186" s="177"/>
      <c r="B186">
        <v>23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f t="shared" si="7"/>
        <v>1</v>
      </c>
      <c r="AI186">
        <f t="shared" si="8"/>
        <v>30</v>
      </c>
      <c r="AJ186">
        <f t="shared" si="9"/>
        <v>1</v>
      </c>
    </row>
    <row r="187" spans="1:36" x14ac:dyDescent="0.25">
      <c r="A187" s="177"/>
      <c r="B187">
        <v>24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f t="shared" si="7"/>
        <v>0</v>
      </c>
      <c r="AI187">
        <f t="shared" si="8"/>
        <v>31</v>
      </c>
      <c r="AJ187">
        <f t="shared" si="9"/>
        <v>0</v>
      </c>
    </row>
    <row r="188" spans="1:36" x14ac:dyDescent="0.25">
      <c r="A188" s="177"/>
      <c r="B188">
        <v>25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3</v>
      </c>
      <c r="AH188">
        <f t="shared" si="7"/>
        <v>3</v>
      </c>
      <c r="AI188">
        <f t="shared" si="8"/>
        <v>30</v>
      </c>
      <c r="AJ188">
        <f t="shared" si="9"/>
        <v>1</v>
      </c>
    </row>
    <row r="189" spans="1:36" x14ac:dyDescent="0.25">
      <c r="A189" s="177"/>
      <c r="B189">
        <v>26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f t="shared" si="7"/>
        <v>0</v>
      </c>
      <c r="AI189">
        <f t="shared" si="8"/>
        <v>31</v>
      </c>
      <c r="AJ189">
        <f t="shared" si="9"/>
        <v>0</v>
      </c>
    </row>
    <row r="190" spans="1:36" x14ac:dyDescent="0.25">
      <c r="A190" s="177"/>
      <c r="B190">
        <v>27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f t="shared" si="7"/>
        <v>0</v>
      </c>
      <c r="AI190">
        <f t="shared" si="8"/>
        <v>31</v>
      </c>
      <c r="AJ190">
        <f t="shared" si="9"/>
        <v>0</v>
      </c>
    </row>
    <row r="191" spans="1:36" x14ac:dyDescent="0.25">
      <c r="A191" s="177"/>
      <c r="B191">
        <v>28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f t="shared" si="7"/>
        <v>0</v>
      </c>
      <c r="AI191">
        <f t="shared" si="8"/>
        <v>31</v>
      </c>
      <c r="AJ191">
        <f t="shared" si="9"/>
        <v>0</v>
      </c>
    </row>
    <row r="192" spans="1:36" x14ac:dyDescent="0.25">
      <c r="A192" s="177"/>
      <c r="B192">
        <v>29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f t="shared" si="7"/>
        <v>0</v>
      </c>
      <c r="AI192">
        <f t="shared" si="8"/>
        <v>31</v>
      </c>
      <c r="AJ192">
        <f t="shared" si="9"/>
        <v>0</v>
      </c>
    </row>
    <row r="193" spans="1:36" x14ac:dyDescent="0.25">
      <c r="A193" s="177"/>
      <c r="B193">
        <v>30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f t="shared" si="7"/>
        <v>0</v>
      </c>
      <c r="AI193">
        <f t="shared" si="8"/>
        <v>31</v>
      </c>
      <c r="AJ193">
        <f t="shared" si="9"/>
        <v>0</v>
      </c>
    </row>
    <row r="194" spans="1:36" x14ac:dyDescent="0.25">
      <c r="A194" s="177"/>
      <c r="B194">
        <v>31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f t="shared" si="7"/>
        <v>0</v>
      </c>
      <c r="AI194">
        <f t="shared" si="8"/>
        <v>31</v>
      </c>
      <c r="AJ194">
        <f t="shared" si="9"/>
        <v>0</v>
      </c>
    </row>
    <row r="195" spans="1:36" x14ac:dyDescent="0.25">
      <c r="A195" s="177"/>
      <c r="B195">
        <v>32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f t="shared" ref="AH195:AH258" si="11">SUM(C195:AG195)</f>
        <v>0</v>
      </c>
      <c r="AI195">
        <f t="shared" ref="AI195:AI258" si="12">COUNTIF(C195:AG195,0)</f>
        <v>31</v>
      </c>
      <c r="AJ195">
        <f t="shared" ref="AJ195:AJ258" si="13">31-AI195</f>
        <v>0</v>
      </c>
    </row>
    <row r="196" spans="1:36" x14ac:dyDescent="0.25">
      <c r="A196" s="177"/>
      <c r="B196">
        <v>33</v>
      </c>
      <c r="C196">
        <v>1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3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f t="shared" si="11"/>
        <v>4</v>
      </c>
      <c r="AI196">
        <f t="shared" si="12"/>
        <v>29</v>
      </c>
      <c r="AJ196">
        <f t="shared" si="13"/>
        <v>2</v>
      </c>
    </row>
    <row r="197" spans="1:36" x14ac:dyDescent="0.25">
      <c r="A197" s="177"/>
      <c r="B197">
        <v>34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f t="shared" si="11"/>
        <v>0</v>
      </c>
      <c r="AI197">
        <f t="shared" si="12"/>
        <v>31</v>
      </c>
      <c r="AJ197">
        <f t="shared" si="13"/>
        <v>0</v>
      </c>
    </row>
    <row r="198" spans="1:36" x14ac:dyDescent="0.25">
      <c r="A198" s="177"/>
      <c r="B198">
        <v>35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f t="shared" si="11"/>
        <v>0</v>
      </c>
      <c r="AI198">
        <f t="shared" si="12"/>
        <v>31</v>
      </c>
      <c r="AJ198">
        <f t="shared" si="13"/>
        <v>0</v>
      </c>
    </row>
    <row r="199" spans="1:36" x14ac:dyDescent="0.25">
      <c r="A199" s="177"/>
      <c r="B199">
        <v>36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f t="shared" si="11"/>
        <v>1</v>
      </c>
      <c r="AI199">
        <f t="shared" si="12"/>
        <v>30</v>
      </c>
      <c r="AJ199">
        <f t="shared" si="13"/>
        <v>1</v>
      </c>
    </row>
    <row r="200" spans="1:36" x14ac:dyDescent="0.25">
      <c r="A200" s="177"/>
      <c r="B200">
        <v>37</v>
      </c>
      <c r="C200">
        <v>0</v>
      </c>
      <c r="D200">
        <v>0</v>
      </c>
      <c r="E200">
        <v>3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f t="shared" si="11"/>
        <v>3</v>
      </c>
      <c r="AI200">
        <f t="shared" si="12"/>
        <v>30</v>
      </c>
      <c r="AJ200">
        <f t="shared" si="13"/>
        <v>1</v>
      </c>
    </row>
    <row r="201" spans="1:36" x14ac:dyDescent="0.25">
      <c r="A201" s="177"/>
      <c r="B201">
        <v>38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f t="shared" si="11"/>
        <v>0</v>
      </c>
      <c r="AI201">
        <f t="shared" si="12"/>
        <v>31</v>
      </c>
      <c r="AJ201">
        <f t="shared" si="13"/>
        <v>0</v>
      </c>
    </row>
    <row r="202" spans="1:36" x14ac:dyDescent="0.25">
      <c r="A202" s="177"/>
      <c r="B202">
        <v>39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1</v>
      </c>
      <c r="J202">
        <v>0</v>
      </c>
      <c r="K202">
        <v>0</v>
      </c>
      <c r="L202">
        <v>0</v>
      </c>
      <c r="M202">
        <v>0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1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f t="shared" si="11"/>
        <v>5</v>
      </c>
      <c r="AI202">
        <f t="shared" si="12"/>
        <v>28</v>
      </c>
      <c r="AJ202">
        <f t="shared" si="13"/>
        <v>3</v>
      </c>
    </row>
    <row r="203" spans="1:36" x14ac:dyDescent="0.25">
      <c r="A203" s="177"/>
      <c r="B203">
        <v>40</v>
      </c>
      <c r="C203">
        <v>0</v>
      </c>
      <c r="D203">
        <v>0</v>
      </c>
      <c r="E203">
        <v>0</v>
      </c>
      <c r="F203">
        <v>0</v>
      </c>
      <c r="G203">
        <v>6</v>
      </c>
      <c r="H203">
        <v>0</v>
      </c>
      <c r="I203">
        <v>2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f t="shared" si="11"/>
        <v>8</v>
      </c>
      <c r="AI203">
        <f t="shared" si="12"/>
        <v>29</v>
      </c>
      <c r="AJ203">
        <f t="shared" si="13"/>
        <v>2</v>
      </c>
    </row>
    <row r="204" spans="1:36" x14ac:dyDescent="0.25">
      <c r="A204" s="177"/>
      <c r="B204">
        <v>41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9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f t="shared" si="11"/>
        <v>9</v>
      </c>
      <c r="AI204">
        <f t="shared" si="12"/>
        <v>30</v>
      </c>
      <c r="AJ204">
        <f t="shared" si="13"/>
        <v>1</v>
      </c>
    </row>
    <row r="205" spans="1:36" x14ac:dyDescent="0.25">
      <c r="A205" s="177"/>
      <c r="B205">
        <v>42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3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f t="shared" si="11"/>
        <v>3</v>
      </c>
      <c r="AI205">
        <f t="shared" si="12"/>
        <v>30</v>
      </c>
      <c r="AJ205">
        <f t="shared" si="13"/>
        <v>1</v>
      </c>
    </row>
    <row r="206" spans="1:36" x14ac:dyDescent="0.25">
      <c r="A206" s="177"/>
      <c r="B206">
        <v>43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7</v>
      </c>
      <c r="N206">
        <v>0</v>
      </c>
      <c r="O206">
        <v>0</v>
      </c>
      <c r="P206">
        <v>5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f t="shared" si="11"/>
        <v>12</v>
      </c>
      <c r="AI206">
        <f t="shared" si="12"/>
        <v>29</v>
      </c>
      <c r="AJ206">
        <f t="shared" si="13"/>
        <v>2</v>
      </c>
    </row>
    <row r="207" spans="1:36" x14ac:dyDescent="0.25">
      <c r="A207" s="177"/>
      <c r="B207">
        <v>44</v>
      </c>
      <c r="C207">
        <v>0</v>
      </c>
      <c r="D207">
        <v>0</v>
      </c>
      <c r="E207">
        <v>3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2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f t="shared" si="11"/>
        <v>5</v>
      </c>
      <c r="AI207">
        <f t="shared" si="12"/>
        <v>29</v>
      </c>
      <c r="AJ207">
        <f t="shared" si="13"/>
        <v>2</v>
      </c>
    </row>
    <row r="208" spans="1:36" x14ac:dyDescent="0.25">
      <c r="A208" s="177"/>
      <c r="B208">
        <v>45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f t="shared" si="11"/>
        <v>0</v>
      </c>
      <c r="AI208">
        <f t="shared" si="12"/>
        <v>31</v>
      </c>
      <c r="AJ208">
        <f t="shared" si="13"/>
        <v>0</v>
      </c>
    </row>
    <row r="209" spans="1:36" x14ac:dyDescent="0.25">
      <c r="A209" s="177"/>
      <c r="B209">
        <v>46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f t="shared" si="11"/>
        <v>3</v>
      </c>
      <c r="AI209">
        <f t="shared" si="12"/>
        <v>29</v>
      </c>
      <c r="AJ209">
        <f t="shared" si="13"/>
        <v>2</v>
      </c>
    </row>
    <row r="210" spans="1:36" x14ac:dyDescent="0.25">
      <c r="A210" s="177"/>
      <c r="B210">
        <v>47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f t="shared" si="11"/>
        <v>0</v>
      </c>
      <c r="AI210">
        <f t="shared" si="12"/>
        <v>31</v>
      </c>
      <c r="AJ210">
        <f t="shared" si="13"/>
        <v>0</v>
      </c>
    </row>
    <row r="211" spans="1:36" x14ac:dyDescent="0.25">
      <c r="A211" s="177"/>
      <c r="B211">
        <v>48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3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2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f t="shared" si="11"/>
        <v>5</v>
      </c>
      <c r="AI211">
        <f t="shared" si="12"/>
        <v>29</v>
      </c>
      <c r="AJ211">
        <f t="shared" si="13"/>
        <v>2</v>
      </c>
    </row>
    <row r="212" spans="1:36" x14ac:dyDescent="0.25">
      <c r="A212" s="177"/>
      <c r="B212">
        <v>49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f t="shared" si="11"/>
        <v>1</v>
      </c>
      <c r="AI212">
        <f t="shared" si="12"/>
        <v>30</v>
      </c>
      <c r="AJ212">
        <f t="shared" si="13"/>
        <v>1</v>
      </c>
    </row>
    <row r="213" spans="1:36" x14ac:dyDescent="0.25">
      <c r="A213" s="177"/>
      <c r="B213">
        <v>50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f t="shared" si="11"/>
        <v>0</v>
      </c>
      <c r="AI213">
        <f t="shared" si="12"/>
        <v>31</v>
      </c>
      <c r="AJ213">
        <f t="shared" si="13"/>
        <v>0</v>
      </c>
    </row>
    <row r="214" spans="1:36" x14ac:dyDescent="0.25">
      <c r="A214" s="177"/>
      <c r="B214">
        <v>51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f t="shared" si="11"/>
        <v>0</v>
      </c>
      <c r="AI214">
        <f t="shared" si="12"/>
        <v>31</v>
      </c>
      <c r="AJ214">
        <f t="shared" si="13"/>
        <v>0</v>
      </c>
    </row>
    <row r="215" spans="1:36" x14ac:dyDescent="0.25">
      <c r="A215" s="177"/>
      <c r="B215">
        <v>52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f t="shared" si="11"/>
        <v>0</v>
      </c>
      <c r="AI215">
        <f t="shared" si="12"/>
        <v>31</v>
      </c>
      <c r="AJ215">
        <f t="shared" si="13"/>
        <v>0</v>
      </c>
    </row>
    <row r="216" spans="1:36" x14ac:dyDescent="0.25">
      <c r="A216" s="177"/>
      <c r="B216">
        <v>53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f t="shared" si="11"/>
        <v>3</v>
      </c>
      <c r="AI216">
        <f t="shared" si="12"/>
        <v>29</v>
      </c>
      <c r="AJ216">
        <f t="shared" si="13"/>
        <v>2</v>
      </c>
    </row>
    <row r="217" spans="1:36" x14ac:dyDescent="0.25">
      <c r="A217" s="177"/>
      <c r="B217">
        <v>54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1</v>
      </c>
      <c r="AD217">
        <v>0</v>
      </c>
      <c r="AE217">
        <v>0</v>
      </c>
      <c r="AF217">
        <v>0</v>
      </c>
      <c r="AG217">
        <v>0</v>
      </c>
      <c r="AH217">
        <f t="shared" si="11"/>
        <v>3</v>
      </c>
      <c r="AI217">
        <f t="shared" si="12"/>
        <v>29</v>
      </c>
      <c r="AJ217">
        <f t="shared" si="13"/>
        <v>2</v>
      </c>
    </row>
    <row r="218" spans="1:36" x14ac:dyDescent="0.25">
      <c r="A218" s="177"/>
      <c r="B218">
        <v>55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4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f t="shared" si="11"/>
        <v>5</v>
      </c>
      <c r="AI218">
        <f t="shared" si="12"/>
        <v>29</v>
      </c>
      <c r="AJ218">
        <f t="shared" si="13"/>
        <v>2</v>
      </c>
    </row>
    <row r="219" spans="1:36" x14ac:dyDescent="0.25">
      <c r="A219" s="177"/>
      <c r="B219">
        <v>56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f t="shared" si="11"/>
        <v>1</v>
      </c>
      <c r="AI219">
        <f t="shared" si="12"/>
        <v>30</v>
      </c>
      <c r="AJ219">
        <f t="shared" si="13"/>
        <v>1</v>
      </c>
    </row>
    <row r="220" spans="1:36" x14ac:dyDescent="0.25">
      <c r="A220" s="177"/>
      <c r="B220">
        <v>57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f t="shared" si="11"/>
        <v>0</v>
      </c>
      <c r="AI220">
        <f t="shared" si="12"/>
        <v>31</v>
      </c>
      <c r="AJ220">
        <f t="shared" si="13"/>
        <v>0</v>
      </c>
    </row>
    <row r="221" spans="1:36" x14ac:dyDescent="0.25">
      <c r="A221" s="177"/>
      <c r="B221">
        <v>58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f t="shared" si="11"/>
        <v>0</v>
      </c>
      <c r="AI221">
        <f t="shared" si="12"/>
        <v>31</v>
      </c>
      <c r="AJ221">
        <f t="shared" si="13"/>
        <v>0</v>
      </c>
    </row>
    <row r="222" spans="1:36" x14ac:dyDescent="0.25">
      <c r="A222" s="177"/>
      <c r="B222">
        <v>59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1</v>
      </c>
      <c r="Y222">
        <v>0</v>
      </c>
      <c r="Z222">
        <v>0</v>
      </c>
      <c r="AA222">
        <v>0</v>
      </c>
      <c r="AB222">
        <v>0</v>
      </c>
      <c r="AC222">
        <v>3</v>
      </c>
      <c r="AD222">
        <v>0</v>
      </c>
      <c r="AE222">
        <v>0</v>
      </c>
      <c r="AF222">
        <v>0</v>
      </c>
      <c r="AG222">
        <v>0</v>
      </c>
      <c r="AH222">
        <f t="shared" si="11"/>
        <v>4</v>
      </c>
      <c r="AI222">
        <f t="shared" si="12"/>
        <v>29</v>
      </c>
      <c r="AJ222">
        <f t="shared" si="13"/>
        <v>2</v>
      </c>
    </row>
    <row r="223" spans="1:36" x14ac:dyDescent="0.25">
      <c r="A223" s="177"/>
      <c r="B223">
        <v>60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f t="shared" si="11"/>
        <v>0</v>
      </c>
      <c r="AI223">
        <f t="shared" si="12"/>
        <v>31</v>
      </c>
      <c r="AJ223">
        <f t="shared" si="13"/>
        <v>0</v>
      </c>
    </row>
    <row r="224" spans="1:36" x14ac:dyDescent="0.25">
      <c r="A224" s="177"/>
      <c r="B224">
        <v>61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f t="shared" si="11"/>
        <v>2</v>
      </c>
      <c r="AI224">
        <f t="shared" si="12"/>
        <v>30</v>
      </c>
      <c r="AJ224">
        <f t="shared" si="13"/>
        <v>1</v>
      </c>
    </row>
    <row r="225" spans="1:36" x14ac:dyDescent="0.25">
      <c r="A225" s="177"/>
      <c r="B225">
        <v>62</v>
      </c>
      <c r="C225">
        <v>2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1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f t="shared" si="11"/>
        <v>3</v>
      </c>
      <c r="AI225">
        <f t="shared" si="12"/>
        <v>29</v>
      </c>
      <c r="AJ225">
        <f t="shared" si="13"/>
        <v>2</v>
      </c>
    </row>
    <row r="226" spans="1:36" x14ac:dyDescent="0.25">
      <c r="A226" s="177"/>
      <c r="B226">
        <v>63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1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f t="shared" si="11"/>
        <v>2</v>
      </c>
      <c r="AI226">
        <f t="shared" si="12"/>
        <v>29</v>
      </c>
      <c r="AJ226">
        <f t="shared" si="13"/>
        <v>2</v>
      </c>
    </row>
    <row r="227" spans="1:36" x14ac:dyDescent="0.25">
      <c r="A227" s="177"/>
      <c r="B227">
        <v>64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1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f t="shared" si="11"/>
        <v>1</v>
      </c>
      <c r="AI227">
        <f t="shared" si="12"/>
        <v>30</v>
      </c>
      <c r="AJ227">
        <f t="shared" si="13"/>
        <v>1</v>
      </c>
    </row>
    <row r="228" spans="1:36" x14ac:dyDescent="0.25">
      <c r="A228" s="177"/>
      <c r="B228">
        <v>65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f t="shared" si="11"/>
        <v>2</v>
      </c>
      <c r="AI228">
        <f t="shared" si="12"/>
        <v>30</v>
      </c>
      <c r="AJ228">
        <f t="shared" si="13"/>
        <v>1</v>
      </c>
    </row>
    <row r="229" spans="1:36" x14ac:dyDescent="0.25">
      <c r="A229" s="177"/>
      <c r="B229">
        <v>66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f t="shared" si="11"/>
        <v>1</v>
      </c>
      <c r="AI229">
        <f t="shared" si="12"/>
        <v>30</v>
      </c>
      <c r="AJ229">
        <f t="shared" si="13"/>
        <v>1</v>
      </c>
    </row>
    <row r="230" spans="1:36" x14ac:dyDescent="0.25">
      <c r="A230" s="177"/>
      <c r="B230">
        <v>67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1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f t="shared" si="11"/>
        <v>1</v>
      </c>
      <c r="AI230">
        <f t="shared" si="12"/>
        <v>30</v>
      </c>
      <c r="AJ230">
        <f t="shared" si="13"/>
        <v>1</v>
      </c>
    </row>
    <row r="231" spans="1:36" x14ac:dyDescent="0.25">
      <c r="A231" s="177"/>
      <c r="B231">
        <v>68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2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f t="shared" si="11"/>
        <v>2</v>
      </c>
      <c r="AI231">
        <f t="shared" si="12"/>
        <v>30</v>
      </c>
      <c r="AJ231">
        <f t="shared" si="13"/>
        <v>1</v>
      </c>
    </row>
    <row r="232" spans="1:36" x14ac:dyDescent="0.25">
      <c r="A232" s="177"/>
      <c r="B232">
        <v>69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2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f t="shared" si="11"/>
        <v>2</v>
      </c>
      <c r="AI232">
        <f t="shared" si="12"/>
        <v>30</v>
      </c>
      <c r="AJ232">
        <f t="shared" si="13"/>
        <v>1</v>
      </c>
    </row>
    <row r="233" spans="1:36" x14ac:dyDescent="0.25">
      <c r="A233" s="177"/>
      <c r="B233">
        <v>70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1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f t="shared" si="11"/>
        <v>1</v>
      </c>
      <c r="AI233">
        <f t="shared" si="12"/>
        <v>30</v>
      </c>
      <c r="AJ233">
        <f t="shared" si="13"/>
        <v>1</v>
      </c>
    </row>
    <row r="234" spans="1:36" x14ac:dyDescent="0.25">
      <c r="A234" s="177"/>
      <c r="B234">
        <v>71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2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f t="shared" si="11"/>
        <v>2</v>
      </c>
      <c r="AI234">
        <f t="shared" si="12"/>
        <v>30</v>
      </c>
      <c r="AJ234">
        <f t="shared" si="13"/>
        <v>1</v>
      </c>
    </row>
    <row r="235" spans="1:36" x14ac:dyDescent="0.25">
      <c r="A235" s="177"/>
      <c r="B235">
        <v>72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f t="shared" si="11"/>
        <v>0</v>
      </c>
      <c r="AI235">
        <f t="shared" si="12"/>
        <v>31</v>
      </c>
      <c r="AJ235">
        <f t="shared" si="13"/>
        <v>0</v>
      </c>
    </row>
    <row r="236" spans="1:36" x14ac:dyDescent="0.25">
      <c r="A236" s="177"/>
      <c r="B236">
        <v>73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f t="shared" si="11"/>
        <v>0</v>
      </c>
      <c r="AI236">
        <f t="shared" si="12"/>
        <v>31</v>
      </c>
      <c r="AJ236">
        <f t="shared" si="13"/>
        <v>0</v>
      </c>
    </row>
    <row r="237" spans="1:36" x14ac:dyDescent="0.25">
      <c r="A237" s="177"/>
      <c r="B237">
        <v>74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f t="shared" si="11"/>
        <v>0</v>
      </c>
      <c r="AI237">
        <f t="shared" si="12"/>
        <v>31</v>
      </c>
      <c r="AJ237">
        <f t="shared" si="13"/>
        <v>0</v>
      </c>
    </row>
    <row r="238" spans="1:36" x14ac:dyDescent="0.25">
      <c r="A238" s="177"/>
      <c r="B238">
        <v>75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f t="shared" si="11"/>
        <v>0</v>
      </c>
      <c r="AI238">
        <f t="shared" si="12"/>
        <v>31</v>
      </c>
      <c r="AJ238">
        <f t="shared" si="13"/>
        <v>0</v>
      </c>
    </row>
    <row r="239" spans="1:36" x14ac:dyDescent="0.25">
      <c r="A239" s="177"/>
      <c r="B239">
        <v>76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f t="shared" si="11"/>
        <v>0</v>
      </c>
      <c r="AI239">
        <f t="shared" si="12"/>
        <v>31</v>
      </c>
      <c r="AJ239">
        <f t="shared" si="13"/>
        <v>0</v>
      </c>
    </row>
    <row r="240" spans="1:36" x14ac:dyDescent="0.25">
      <c r="A240" s="177"/>
      <c r="B240">
        <v>77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f t="shared" si="11"/>
        <v>0</v>
      </c>
      <c r="AI240">
        <f t="shared" si="12"/>
        <v>31</v>
      </c>
      <c r="AJ240">
        <f t="shared" si="13"/>
        <v>0</v>
      </c>
    </row>
    <row r="241" spans="1:36" x14ac:dyDescent="0.25">
      <c r="A241" s="177"/>
      <c r="B241">
        <v>78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f t="shared" si="11"/>
        <v>2</v>
      </c>
      <c r="AI241">
        <f t="shared" si="12"/>
        <v>30</v>
      </c>
      <c r="AJ241">
        <f t="shared" si="13"/>
        <v>1</v>
      </c>
    </row>
    <row r="242" spans="1:36" x14ac:dyDescent="0.25">
      <c r="A242" s="177"/>
      <c r="B242">
        <v>79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f t="shared" si="11"/>
        <v>0</v>
      </c>
      <c r="AI242">
        <f t="shared" si="12"/>
        <v>31</v>
      </c>
      <c r="AJ242">
        <f t="shared" si="13"/>
        <v>0</v>
      </c>
    </row>
    <row r="243" spans="1:36" x14ac:dyDescent="0.25">
      <c r="A243" s="177"/>
      <c r="B243">
        <v>80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f t="shared" si="11"/>
        <v>0</v>
      </c>
      <c r="AI243">
        <f t="shared" si="12"/>
        <v>31</v>
      </c>
      <c r="AJ243">
        <f t="shared" si="13"/>
        <v>0</v>
      </c>
    </row>
    <row r="244" spans="1:36" s="108" customFormat="1" x14ac:dyDescent="0.25">
      <c r="C244" s="108">
        <f>SUM(C164:C243)</f>
        <v>3</v>
      </c>
      <c r="D244" s="108">
        <f t="shared" ref="D244:AG244" si="14">SUM(D164:D243)</f>
        <v>0</v>
      </c>
      <c r="E244" s="108">
        <f t="shared" si="14"/>
        <v>7</v>
      </c>
      <c r="F244" s="108">
        <f t="shared" si="14"/>
        <v>10</v>
      </c>
      <c r="G244" s="108">
        <f t="shared" si="14"/>
        <v>13</v>
      </c>
      <c r="H244" s="108">
        <f t="shared" si="14"/>
        <v>13</v>
      </c>
      <c r="I244" s="108">
        <f t="shared" si="14"/>
        <v>21</v>
      </c>
      <c r="J244" s="108">
        <f t="shared" si="14"/>
        <v>0</v>
      </c>
      <c r="K244" s="108">
        <f t="shared" si="14"/>
        <v>29</v>
      </c>
      <c r="L244" s="108">
        <f t="shared" si="14"/>
        <v>0</v>
      </c>
      <c r="M244" s="108">
        <f t="shared" si="14"/>
        <v>19</v>
      </c>
      <c r="N244" s="108">
        <f t="shared" si="14"/>
        <v>7</v>
      </c>
      <c r="O244" s="108">
        <f t="shared" si="14"/>
        <v>11</v>
      </c>
      <c r="P244" s="108">
        <f t="shared" si="14"/>
        <v>19</v>
      </c>
      <c r="Q244" s="108">
        <f t="shared" si="14"/>
        <v>0</v>
      </c>
      <c r="R244" s="108">
        <f t="shared" si="14"/>
        <v>0</v>
      </c>
      <c r="S244" s="108">
        <f t="shared" si="14"/>
        <v>0</v>
      </c>
      <c r="T244" s="108">
        <f t="shared" si="14"/>
        <v>0</v>
      </c>
      <c r="U244" s="108">
        <f t="shared" si="14"/>
        <v>0</v>
      </c>
      <c r="V244" s="108">
        <f t="shared" si="14"/>
        <v>0</v>
      </c>
      <c r="W244" s="108">
        <f t="shared" si="14"/>
        <v>2</v>
      </c>
      <c r="X244" s="108">
        <f t="shared" si="14"/>
        <v>16</v>
      </c>
      <c r="Y244" s="108">
        <f t="shared" si="14"/>
        <v>0</v>
      </c>
      <c r="Z244" s="108">
        <f t="shared" si="14"/>
        <v>0</v>
      </c>
      <c r="AA244" s="108">
        <f t="shared" si="14"/>
        <v>0</v>
      </c>
      <c r="AB244" s="108">
        <f t="shared" si="14"/>
        <v>4</v>
      </c>
      <c r="AC244" s="108">
        <f t="shared" si="14"/>
        <v>5</v>
      </c>
      <c r="AD244" s="108">
        <f t="shared" si="14"/>
        <v>0</v>
      </c>
      <c r="AE244" s="108">
        <f t="shared" si="14"/>
        <v>0</v>
      </c>
      <c r="AF244" s="108">
        <f t="shared" si="14"/>
        <v>12</v>
      </c>
      <c r="AG244" s="108">
        <f t="shared" si="14"/>
        <v>9</v>
      </c>
      <c r="AH244" s="108">
        <f t="shared" si="11"/>
        <v>200</v>
      </c>
      <c r="AI244" s="108">
        <f t="shared" si="12"/>
        <v>14</v>
      </c>
      <c r="AJ244" s="108">
        <f t="shared" si="13"/>
        <v>17</v>
      </c>
    </row>
    <row r="245" spans="1:36" x14ac:dyDescent="0.25">
      <c r="A245" s="177">
        <v>4</v>
      </c>
      <c r="B245">
        <v>1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1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f t="shared" si="11"/>
        <v>1</v>
      </c>
      <c r="AI245">
        <f t="shared" si="12"/>
        <v>30</v>
      </c>
      <c r="AJ245">
        <f t="shared" si="13"/>
        <v>1</v>
      </c>
    </row>
    <row r="246" spans="1:36" x14ac:dyDescent="0.25">
      <c r="A246" s="177"/>
      <c r="B246">
        <v>2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f t="shared" si="11"/>
        <v>0</v>
      </c>
      <c r="AI246">
        <f t="shared" si="12"/>
        <v>31</v>
      </c>
      <c r="AJ246">
        <f t="shared" si="13"/>
        <v>0</v>
      </c>
    </row>
    <row r="247" spans="1:36" x14ac:dyDescent="0.25">
      <c r="A247" s="177"/>
      <c r="B247">
        <v>3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f t="shared" si="11"/>
        <v>0</v>
      </c>
      <c r="AI247">
        <f t="shared" si="12"/>
        <v>31</v>
      </c>
      <c r="AJ247">
        <f t="shared" si="13"/>
        <v>0</v>
      </c>
    </row>
    <row r="248" spans="1:36" x14ac:dyDescent="0.25">
      <c r="A248" s="177"/>
      <c r="B248">
        <v>4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f t="shared" si="11"/>
        <v>0</v>
      </c>
      <c r="AI248">
        <f t="shared" si="12"/>
        <v>31</v>
      </c>
      <c r="AJ248">
        <f t="shared" si="13"/>
        <v>0</v>
      </c>
    </row>
    <row r="249" spans="1:36" x14ac:dyDescent="0.25">
      <c r="A249" s="177"/>
      <c r="B249">
        <v>5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f t="shared" si="11"/>
        <v>0</v>
      </c>
      <c r="AI249">
        <f t="shared" si="12"/>
        <v>31</v>
      </c>
      <c r="AJ249">
        <f t="shared" si="13"/>
        <v>0</v>
      </c>
    </row>
    <row r="250" spans="1:36" x14ac:dyDescent="0.25">
      <c r="A250" s="177"/>
      <c r="B250">
        <v>6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f t="shared" si="11"/>
        <v>0</v>
      </c>
      <c r="AI250">
        <f t="shared" si="12"/>
        <v>31</v>
      </c>
      <c r="AJ250">
        <f t="shared" si="13"/>
        <v>0</v>
      </c>
    </row>
    <row r="251" spans="1:36" x14ac:dyDescent="0.25">
      <c r="A251" s="177"/>
      <c r="B251">
        <v>7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f t="shared" si="11"/>
        <v>0</v>
      </c>
      <c r="AI251">
        <f t="shared" si="12"/>
        <v>31</v>
      </c>
      <c r="AJ251">
        <f t="shared" si="13"/>
        <v>0</v>
      </c>
    </row>
    <row r="252" spans="1:36" x14ac:dyDescent="0.25">
      <c r="A252" s="177"/>
      <c r="B252">
        <v>8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f t="shared" si="11"/>
        <v>0</v>
      </c>
      <c r="AI252">
        <f t="shared" si="12"/>
        <v>31</v>
      </c>
      <c r="AJ252">
        <f t="shared" si="13"/>
        <v>0</v>
      </c>
    </row>
    <row r="253" spans="1:36" x14ac:dyDescent="0.25">
      <c r="A253" s="177"/>
      <c r="B253">
        <v>9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f t="shared" si="11"/>
        <v>0</v>
      </c>
      <c r="AI253">
        <f t="shared" si="12"/>
        <v>31</v>
      </c>
      <c r="AJ253">
        <f t="shared" si="13"/>
        <v>0</v>
      </c>
    </row>
    <row r="254" spans="1:36" x14ac:dyDescent="0.25">
      <c r="A254" s="177"/>
      <c r="B254">
        <v>10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f t="shared" si="11"/>
        <v>0</v>
      </c>
      <c r="AI254">
        <f t="shared" si="12"/>
        <v>31</v>
      </c>
      <c r="AJ254">
        <f t="shared" si="13"/>
        <v>0</v>
      </c>
    </row>
    <row r="255" spans="1:36" x14ac:dyDescent="0.25">
      <c r="A255" s="177"/>
      <c r="B255">
        <v>11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f t="shared" si="11"/>
        <v>0</v>
      </c>
      <c r="AI255">
        <f t="shared" si="12"/>
        <v>31</v>
      </c>
      <c r="AJ255">
        <f t="shared" si="13"/>
        <v>0</v>
      </c>
    </row>
    <row r="256" spans="1:36" x14ac:dyDescent="0.25">
      <c r="A256" s="177"/>
      <c r="B256">
        <v>12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f t="shared" si="11"/>
        <v>0</v>
      </c>
      <c r="AI256">
        <f t="shared" si="12"/>
        <v>31</v>
      </c>
      <c r="AJ256">
        <f t="shared" si="13"/>
        <v>0</v>
      </c>
    </row>
    <row r="257" spans="1:36" x14ac:dyDescent="0.25">
      <c r="A257" s="177"/>
      <c r="B257">
        <v>13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f t="shared" si="11"/>
        <v>2</v>
      </c>
      <c r="AI257">
        <f t="shared" si="12"/>
        <v>30</v>
      </c>
      <c r="AJ257">
        <f t="shared" si="13"/>
        <v>1</v>
      </c>
    </row>
    <row r="258" spans="1:36" x14ac:dyDescent="0.25">
      <c r="A258" s="177"/>
      <c r="B258">
        <v>14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f t="shared" si="11"/>
        <v>0</v>
      </c>
      <c r="AI258">
        <f t="shared" si="12"/>
        <v>31</v>
      </c>
      <c r="AJ258">
        <f t="shared" si="13"/>
        <v>0</v>
      </c>
    </row>
    <row r="259" spans="1:36" x14ac:dyDescent="0.25">
      <c r="A259" s="177"/>
      <c r="B259">
        <v>15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f t="shared" ref="AH259:AH322" si="15">SUM(C259:AG259)</f>
        <v>0</v>
      </c>
      <c r="AI259">
        <f t="shared" ref="AI259:AI322" si="16">COUNTIF(C259:AG259,0)</f>
        <v>31</v>
      </c>
      <c r="AJ259">
        <f t="shared" ref="AJ259:AJ322" si="17">31-AI259</f>
        <v>0</v>
      </c>
    </row>
    <row r="260" spans="1:36" x14ac:dyDescent="0.25">
      <c r="A260" s="177"/>
      <c r="B260">
        <v>16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f t="shared" si="15"/>
        <v>0</v>
      </c>
      <c r="AI260">
        <f t="shared" si="16"/>
        <v>31</v>
      </c>
      <c r="AJ260">
        <f t="shared" si="17"/>
        <v>0</v>
      </c>
    </row>
    <row r="261" spans="1:36" x14ac:dyDescent="0.25">
      <c r="A261" s="177"/>
      <c r="B261">
        <v>17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f t="shared" si="15"/>
        <v>0</v>
      </c>
      <c r="AI261">
        <f t="shared" si="16"/>
        <v>31</v>
      </c>
      <c r="AJ261">
        <f t="shared" si="17"/>
        <v>0</v>
      </c>
    </row>
    <row r="262" spans="1:36" x14ac:dyDescent="0.25">
      <c r="A262" s="177"/>
      <c r="B262">
        <v>18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f t="shared" si="15"/>
        <v>0</v>
      </c>
      <c r="AI262">
        <f t="shared" si="16"/>
        <v>31</v>
      </c>
      <c r="AJ262">
        <f t="shared" si="17"/>
        <v>0</v>
      </c>
    </row>
    <row r="263" spans="1:36" x14ac:dyDescent="0.25">
      <c r="A263" s="177"/>
      <c r="B263">
        <v>19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f t="shared" si="15"/>
        <v>0</v>
      </c>
      <c r="AI263">
        <f t="shared" si="16"/>
        <v>31</v>
      </c>
      <c r="AJ263">
        <f t="shared" si="17"/>
        <v>0</v>
      </c>
    </row>
    <row r="264" spans="1:36" x14ac:dyDescent="0.25">
      <c r="A264" s="177"/>
      <c r="B264">
        <v>20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f t="shared" si="15"/>
        <v>0</v>
      </c>
      <c r="AI264">
        <f t="shared" si="16"/>
        <v>31</v>
      </c>
      <c r="AJ264">
        <f t="shared" si="17"/>
        <v>0</v>
      </c>
    </row>
    <row r="265" spans="1:36" x14ac:dyDescent="0.25">
      <c r="A265" s="177"/>
      <c r="B265">
        <v>21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f t="shared" si="15"/>
        <v>0</v>
      </c>
      <c r="AI265">
        <f t="shared" si="16"/>
        <v>31</v>
      </c>
      <c r="AJ265">
        <f t="shared" si="17"/>
        <v>0</v>
      </c>
    </row>
    <row r="266" spans="1:36" x14ac:dyDescent="0.25">
      <c r="A266" s="177"/>
      <c r="B266">
        <v>22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f t="shared" si="15"/>
        <v>0</v>
      </c>
      <c r="AI266">
        <f t="shared" si="16"/>
        <v>31</v>
      </c>
      <c r="AJ266">
        <f t="shared" si="17"/>
        <v>0</v>
      </c>
    </row>
    <row r="267" spans="1:36" x14ac:dyDescent="0.25">
      <c r="A267" s="177"/>
      <c r="B267">
        <v>23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f t="shared" si="15"/>
        <v>0</v>
      </c>
      <c r="AI267">
        <f t="shared" si="16"/>
        <v>31</v>
      </c>
      <c r="AJ267">
        <f t="shared" si="17"/>
        <v>0</v>
      </c>
    </row>
    <row r="268" spans="1:36" x14ac:dyDescent="0.25">
      <c r="A268" s="177"/>
      <c r="B268">
        <v>24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f t="shared" si="15"/>
        <v>0</v>
      </c>
      <c r="AI268">
        <f t="shared" si="16"/>
        <v>31</v>
      </c>
      <c r="AJ268">
        <f t="shared" si="17"/>
        <v>0</v>
      </c>
    </row>
    <row r="269" spans="1:36" x14ac:dyDescent="0.25">
      <c r="A269" s="177"/>
      <c r="B269">
        <v>25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f t="shared" si="15"/>
        <v>0</v>
      </c>
      <c r="AI269">
        <f t="shared" si="16"/>
        <v>31</v>
      </c>
      <c r="AJ269">
        <f t="shared" si="17"/>
        <v>0</v>
      </c>
    </row>
    <row r="270" spans="1:36" x14ac:dyDescent="0.25">
      <c r="A270" s="177"/>
      <c r="B270">
        <v>26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f t="shared" si="15"/>
        <v>0</v>
      </c>
      <c r="AI270">
        <f t="shared" si="16"/>
        <v>31</v>
      </c>
      <c r="AJ270">
        <f t="shared" si="17"/>
        <v>0</v>
      </c>
    </row>
    <row r="271" spans="1:36" x14ac:dyDescent="0.25">
      <c r="A271" s="177"/>
      <c r="B271">
        <v>27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f t="shared" si="15"/>
        <v>0</v>
      </c>
      <c r="AI271">
        <f t="shared" si="16"/>
        <v>31</v>
      </c>
      <c r="AJ271">
        <f t="shared" si="17"/>
        <v>0</v>
      </c>
    </row>
    <row r="272" spans="1:36" x14ac:dyDescent="0.25">
      <c r="A272" s="177"/>
      <c r="B272">
        <v>28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f t="shared" si="15"/>
        <v>2</v>
      </c>
      <c r="AI272">
        <f t="shared" si="16"/>
        <v>30</v>
      </c>
      <c r="AJ272">
        <f t="shared" si="17"/>
        <v>1</v>
      </c>
    </row>
    <row r="273" spans="1:36" x14ac:dyDescent="0.25">
      <c r="A273" s="177"/>
      <c r="B273">
        <v>29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f t="shared" si="15"/>
        <v>0</v>
      </c>
      <c r="AI273">
        <f t="shared" si="16"/>
        <v>31</v>
      </c>
      <c r="AJ273">
        <f t="shared" si="17"/>
        <v>0</v>
      </c>
    </row>
    <row r="274" spans="1:36" x14ac:dyDescent="0.25">
      <c r="A274" s="177"/>
      <c r="B274">
        <v>30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f t="shared" si="15"/>
        <v>0</v>
      </c>
      <c r="AI274">
        <f t="shared" si="16"/>
        <v>31</v>
      </c>
      <c r="AJ274">
        <f t="shared" si="17"/>
        <v>0</v>
      </c>
    </row>
    <row r="275" spans="1:36" x14ac:dyDescent="0.25">
      <c r="A275" s="177"/>
      <c r="B275">
        <v>31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f t="shared" si="15"/>
        <v>0</v>
      </c>
      <c r="AI275">
        <f t="shared" si="16"/>
        <v>31</v>
      </c>
      <c r="AJ275">
        <f t="shared" si="17"/>
        <v>0</v>
      </c>
    </row>
    <row r="276" spans="1:36" x14ac:dyDescent="0.25">
      <c r="A276" s="177"/>
      <c r="B276">
        <v>32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f t="shared" si="15"/>
        <v>0</v>
      </c>
      <c r="AI276">
        <f t="shared" si="16"/>
        <v>31</v>
      </c>
      <c r="AJ276">
        <f t="shared" si="17"/>
        <v>0</v>
      </c>
    </row>
    <row r="277" spans="1:36" x14ac:dyDescent="0.25">
      <c r="A277" s="177"/>
      <c r="B277">
        <v>33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f t="shared" si="15"/>
        <v>1</v>
      </c>
      <c r="AI277">
        <f t="shared" si="16"/>
        <v>30</v>
      </c>
      <c r="AJ277">
        <f t="shared" si="17"/>
        <v>1</v>
      </c>
    </row>
    <row r="278" spans="1:36" x14ac:dyDescent="0.25">
      <c r="A278" s="177"/>
      <c r="B278">
        <v>34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f t="shared" si="15"/>
        <v>0</v>
      </c>
      <c r="AI278">
        <f t="shared" si="16"/>
        <v>31</v>
      </c>
      <c r="AJ278">
        <f t="shared" si="17"/>
        <v>0</v>
      </c>
    </row>
    <row r="279" spans="1:36" x14ac:dyDescent="0.25">
      <c r="A279" s="177"/>
      <c r="B279">
        <v>35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f t="shared" si="15"/>
        <v>0</v>
      </c>
      <c r="AI279">
        <f t="shared" si="16"/>
        <v>31</v>
      </c>
      <c r="AJ279">
        <f t="shared" si="17"/>
        <v>0</v>
      </c>
    </row>
    <row r="280" spans="1:36" x14ac:dyDescent="0.25">
      <c r="A280" s="177"/>
      <c r="B280">
        <v>36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5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f t="shared" si="15"/>
        <v>5</v>
      </c>
      <c r="AI280">
        <f t="shared" si="16"/>
        <v>30</v>
      </c>
      <c r="AJ280">
        <f t="shared" si="17"/>
        <v>1</v>
      </c>
    </row>
    <row r="281" spans="1:36" x14ac:dyDescent="0.25">
      <c r="A281" s="177"/>
      <c r="B281">
        <v>37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1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f t="shared" si="15"/>
        <v>1</v>
      </c>
      <c r="AI281">
        <f t="shared" si="16"/>
        <v>30</v>
      </c>
      <c r="AJ281">
        <f t="shared" si="17"/>
        <v>1</v>
      </c>
    </row>
    <row r="282" spans="1:36" x14ac:dyDescent="0.25">
      <c r="A282" s="177"/>
      <c r="B282">
        <v>38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7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1</v>
      </c>
      <c r="AH282">
        <f t="shared" si="15"/>
        <v>8</v>
      </c>
      <c r="AI282">
        <f t="shared" si="16"/>
        <v>29</v>
      </c>
      <c r="AJ282">
        <f t="shared" si="17"/>
        <v>2</v>
      </c>
    </row>
    <row r="283" spans="1:36" x14ac:dyDescent="0.25">
      <c r="A283" s="177"/>
      <c r="B283">
        <v>39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4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5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f t="shared" si="15"/>
        <v>9</v>
      </c>
      <c r="AI283">
        <f t="shared" si="16"/>
        <v>29</v>
      </c>
      <c r="AJ283">
        <f t="shared" si="17"/>
        <v>2</v>
      </c>
    </row>
    <row r="284" spans="1:36" x14ac:dyDescent="0.25">
      <c r="A284" s="177"/>
      <c r="B284">
        <v>40</v>
      </c>
      <c r="C284">
        <v>1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f t="shared" si="15"/>
        <v>1</v>
      </c>
      <c r="AI284">
        <f t="shared" si="16"/>
        <v>30</v>
      </c>
      <c r="AJ284">
        <f t="shared" si="17"/>
        <v>1</v>
      </c>
    </row>
    <row r="285" spans="1:36" x14ac:dyDescent="0.25">
      <c r="A285" s="177"/>
      <c r="B285">
        <v>41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1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f t="shared" si="15"/>
        <v>1</v>
      </c>
      <c r="AI285">
        <f t="shared" si="16"/>
        <v>30</v>
      </c>
      <c r="AJ285">
        <f t="shared" si="17"/>
        <v>1</v>
      </c>
    </row>
    <row r="286" spans="1:36" x14ac:dyDescent="0.25">
      <c r="A286" s="177"/>
      <c r="B286">
        <v>42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1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f t="shared" si="15"/>
        <v>2</v>
      </c>
      <c r="AI286">
        <f t="shared" si="16"/>
        <v>29</v>
      </c>
      <c r="AJ286">
        <f t="shared" si="17"/>
        <v>2</v>
      </c>
    </row>
    <row r="287" spans="1:36" x14ac:dyDescent="0.25">
      <c r="A287" s="177"/>
      <c r="B287">
        <v>43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3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f t="shared" si="15"/>
        <v>4</v>
      </c>
      <c r="AI287">
        <f t="shared" si="16"/>
        <v>29</v>
      </c>
      <c r="AJ287">
        <f t="shared" si="17"/>
        <v>2</v>
      </c>
    </row>
    <row r="288" spans="1:36" x14ac:dyDescent="0.25">
      <c r="A288" s="177"/>
      <c r="B288">
        <v>44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3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2</v>
      </c>
      <c r="AG288">
        <v>0</v>
      </c>
      <c r="AH288">
        <f t="shared" si="15"/>
        <v>5</v>
      </c>
      <c r="AI288">
        <f t="shared" si="16"/>
        <v>29</v>
      </c>
      <c r="AJ288">
        <f t="shared" si="17"/>
        <v>2</v>
      </c>
    </row>
    <row r="289" spans="1:36" x14ac:dyDescent="0.25">
      <c r="A289" s="177"/>
      <c r="B289">
        <v>45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2</v>
      </c>
      <c r="Q289">
        <v>0</v>
      </c>
      <c r="R289">
        <v>0</v>
      </c>
      <c r="S289">
        <v>0</v>
      </c>
      <c r="T289">
        <v>0</v>
      </c>
      <c r="U289">
        <v>4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7</v>
      </c>
      <c r="AG289">
        <v>0</v>
      </c>
      <c r="AH289">
        <f t="shared" si="15"/>
        <v>13</v>
      </c>
      <c r="AI289">
        <f t="shared" si="16"/>
        <v>28</v>
      </c>
      <c r="AJ289">
        <f t="shared" si="17"/>
        <v>3</v>
      </c>
    </row>
    <row r="290" spans="1:36" x14ac:dyDescent="0.25">
      <c r="A290" s="177"/>
      <c r="B290">
        <v>46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4</v>
      </c>
      <c r="N290">
        <v>0</v>
      </c>
      <c r="O290">
        <v>1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2</v>
      </c>
      <c r="AE290">
        <v>0</v>
      </c>
      <c r="AF290">
        <v>0</v>
      </c>
      <c r="AG290">
        <v>0</v>
      </c>
      <c r="AH290">
        <f t="shared" si="15"/>
        <v>7</v>
      </c>
      <c r="AI290">
        <f t="shared" si="16"/>
        <v>28</v>
      </c>
      <c r="AJ290">
        <f t="shared" si="17"/>
        <v>3</v>
      </c>
    </row>
    <row r="291" spans="1:36" x14ac:dyDescent="0.25">
      <c r="A291" s="177"/>
      <c r="B291">
        <v>47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f t="shared" si="15"/>
        <v>3</v>
      </c>
      <c r="AI291">
        <f t="shared" si="16"/>
        <v>30</v>
      </c>
      <c r="AJ291">
        <f t="shared" si="17"/>
        <v>1</v>
      </c>
    </row>
    <row r="292" spans="1:36" x14ac:dyDescent="0.25">
      <c r="A292" s="177"/>
      <c r="B292">
        <v>48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f t="shared" si="15"/>
        <v>0</v>
      </c>
      <c r="AI292">
        <f t="shared" si="16"/>
        <v>31</v>
      </c>
      <c r="AJ292">
        <f t="shared" si="17"/>
        <v>0</v>
      </c>
    </row>
    <row r="293" spans="1:36" x14ac:dyDescent="0.25">
      <c r="A293" s="177"/>
      <c r="B293">
        <v>49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11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1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f t="shared" si="15"/>
        <v>12</v>
      </c>
      <c r="AI293">
        <f t="shared" si="16"/>
        <v>29</v>
      </c>
      <c r="AJ293">
        <f t="shared" si="17"/>
        <v>2</v>
      </c>
    </row>
    <row r="294" spans="1:36" x14ac:dyDescent="0.25">
      <c r="A294" s="177"/>
      <c r="B294">
        <v>50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f t="shared" si="15"/>
        <v>0</v>
      </c>
      <c r="AI294">
        <f t="shared" si="16"/>
        <v>31</v>
      </c>
      <c r="AJ294">
        <f t="shared" si="17"/>
        <v>0</v>
      </c>
    </row>
    <row r="295" spans="1:36" x14ac:dyDescent="0.25">
      <c r="A295" s="177"/>
      <c r="B295">
        <v>51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4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f t="shared" si="15"/>
        <v>4</v>
      </c>
      <c r="AI295">
        <f t="shared" si="16"/>
        <v>30</v>
      </c>
      <c r="AJ295">
        <f t="shared" si="17"/>
        <v>1</v>
      </c>
    </row>
    <row r="296" spans="1:36" x14ac:dyDescent="0.25">
      <c r="A296" s="177"/>
      <c r="B296">
        <v>52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1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f t="shared" si="15"/>
        <v>1</v>
      </c>
      <c r="AI296">
        <f t="shared" si="16"/>
        <v>30</v>
      </c>
      <c r="AJ296">
        <f t="shared" si="17"/>
        <v>1</v>
      </c>
    </row>
    <row r="297" spans="1:36" x14ac:dyDescent="0.25">
      <c r="A297" s="177"/>
      <c r="B297">
        <v>53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1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f t="shared" si="15"/>
        <v>2</v>
      </c>
      <c r="AI297">
        <f t="shared" si="16"/>
        <v>29</v>
      </c>
      <c r="AJ297">
        <f t="shared" si="17"/>
        <v>2</v>
      </c>
    </row>
    <row r="298" spans="1:36" x14ac:dyDescent="0.25">
      <c r="A298" s="177"/>
      <c r="B298">
        <v>54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1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f t="shared" si="15"/>
        <v>1</v>
      </c>
      <c r="AI298">
        <f t="shared" si="16"/>
        <v>30</v>
      </c>
      <c r="AJ298">
        <f t="shared" si="17"/>
        <v>1</v>
      </c>
    </row>
    <row r="299" spans="1:36" x14ac:dyDescent="0.25">
      <c r="A299" s="177"/>
      <c r="B299">
        <v>55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2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f t="shared" si="15"/>
        <v>2</v>
      </c>
      <c r="AI299">
        <f t="shared" si="16"/>
        <v>30</v>
      </c>
      <c r="AJ299">
        <f t="shared" si="17"/>
        <v>1</v>
      </c>
    </row>
    <row r="300" spans="1:36" x14ac:dyDescent="0.25">
      <c r="A300" s="177"/>
      <c r="B300">
        <v>56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f t="shared" si="15"/>
        <v>3</v>
      </c>
      <c r="AI300">
        <f t="shared" si="16"/>
        <v>30</v>
      </c>
      <c r="AJ300">
        <f t="shared" si="17"/>
        <v>1</v>
      </c>
    </row>
    <row r="301" spans="1:36" x14ac:dyDescent="0.25">
      <c r="A301" s="177"/>
      <c r="B301">
        <v>57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5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f t="shared" si="15"/>
        <v>5</v>
      </c>
      <c r="AI301">
        <f t="shared" si="16"/>
        <v>30</v>
      </c>
      <c r="AJ301">
        <f t="shared" si="17"/>
        <v>1</v>
      </c>
    </row>
    <row r="302" spans="1:36" x14ac:dyDescent="0.25">
      <c r="A302" s="177"/>
      <c r="B302">
        <v>58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5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f t="shared" si="15"/>
        <v>5</v>
      </c>
      <c r="AI302">
        <f t="shared" si="16"/>
        <v>30</v>
      </c>
      <c r="AJ302">
        <f t="shared" si="17"/>
        <v>1</v>
      </c>
    </row>
    <row r="303" spans="1:36" x14ac:dyDescent="0.25">
      <c r="A303" s="177"/>
      <c r="B303">
        <v>59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1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f t="shared" si="15"/>
        <v>1</v>
      </c>
      <c r="AI303">
        <f t="shared" si="16"/>
        <v>30</v>
      </c>
      <c r="AJ303">
        <f t="shared" si="17"/>
        <v>1</v>
      </c>
    </row>
    <row r="304" spans="1:36" x14ac:dyDescent="0.25">
      <c r="A304" s="177"/>
      <c r="B304">
        <v>60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f t="shared" si="15"/>
        <v>1</v>
      </c>
      <c r="AI304">
        <f t="shared" si="16"/>
        <v>30</v>
      </c>
      <c r="AJ304">
        <f t="shared" si="17"/>
        <v>1</v>
      </c>
    </row>
    <row r="305" spans="1:36" s="108" customFormat="1" x14ac:dyDescent="0.25">
      <c r="C305" s="108">
        <f t="shared" ref="C305:AG305" ca="1" si="18">SUM(C245:C324)</f>
        <v>1</v>
      </c>
      <c r="D305" s="108">
        <f t="shared" ca="1" si="18"/>
        <v>0</v>
      </c>
      <c r="E305" s="108">
        <f t="shared" ca="1" si="18"/>
        <v>0</v>
      </c>
      <c r="F305" s="108">
        <f t="shared" ca="1" si="18"/>
        <v>0</v>
      </c>
      <c r="G305" s="108">
        <f t="shared" ca="1" si="18"/>
        <v>0</v>
      </c>
      <c r="H305" s="108">
        <f t="shared" ca="1" si="18"/>
        <v>0</v>
      </c>
      <c r="I305" s="108">
        <f t="shared" ca="1" si="18"/>
        <v>4</v>
      </c>
      <c r="J305" s="108">
        <f t="shared" ca="1" si="18"/>
        <v>0</v>
      </c>
      <c r="K305" s="108">
        <f t="shared" ca="1" si="18"/>
        <v>16</v>
      </c>
      <c r="L305" s="108">
        <f t="shared" ca="1" si="18"/>
        <v>0</v>
      </c>
      <c r="M305" s="108">
        <f t="shared" ca="1" si="18"/>
        <v>13</v>
      </c>
      <c r="N305" s="108">
        <f t="shared" ca="1" si="18"/>
        <v>14</v>
      </c>
      <c r="O305" s="108">
        <f t="shared" ca="1" si="18"/>
        <v>18</v>
      </c>
      <c r="P305" s="108">
        <f t="shared" ca="1" si="18"/>
        <v>4</v>
      </c>
      <c r="Q305" s="108">
        <f t="shared" ca="1" si="18"/>
        <v>0</v>
      </c>
      <c r="R305" s="108">
        <f t="shared" ca="1" si="18"/>
        <v>4</v>
      </c>
      <c r="S305" s="108">
        <f t="shared" ca="1" si="18"/>
        <v>1</v>
      </c>
      <c r="T305" s="108">
        <f t="shared" ca="1" si="18"/>
        <v>0</v>
      </c>
      <c r="U305" s="108">
        <f t="shared" ca="1" si="18"/>
        <v>4</v>
      </c>
      <c r="V305" s="108">
        <f t="shared" ca="1" si="18"/>
        <v>0</v>
      </c>
      <c r="W305" s="108">
        <f t="shared" ca="1" si="18"/>
        <v>0</v>
      </c>
      <c r="X305" s="108">
        <f t="shared" ca="1" si="18"/>
        <v>10</v>
      </c>
      <c r="Y305" s="108">
        <f t="shared" ca="1" si="18"/>
        <v>0</v>
      </c>
      <c r="Z305" s="108">
        <f t="shared" ca="1" si="18"/>
        <v>0</v>
      </c>
      <c r="AA305" s="108">
        <f t="shared" ca="1" si="18"/>
        <v>0</v>
      </c>
      <c r="AB305" s="108">
        <f t="shared" ca="1" si="18"/>
        <v>0</v>
      </c>
      <c r="AC305" s="108">
        <f t="shared" ca="1" si="18"/>
        <v>0</v>
      </c>
      <c r="AD305" s="108">
        <f t="shared" ca="1" si="18"/>
        <v>2</v>
      </c>
      <c r="AE305" s="108">
        <f t="shared" ca="1" si="18"/>
        <v>0</v>
      </c>
      <c r="AF305" s="108">
        <f t="shared" ca="1" si="18"/>
        <v>9</v>
      </c>
      <c r="AG305" s="108">
        <f t="shared" ca="1" si="18"/>
        <v>1</v>
      </c>
      <c r="AH305" s="108">
        <f t="shared" ca="1" si="15"/>
        <v>3</v>
      </c>
      <c r="AI305" s="108">
        <f t="shared" ca="1" si="16"/>
        <v>30</v>
      </c>
      <c r="AJ305" s="108">
        <f t="shared" ca="1" si="17"/>
        <v>1</v>
      </c>
    </row>
    <row r="306" spans="1:36" x14ac:dyDescent="0.25">
      <c r="A306" s="177">
        <v>5</v>
      </c>
      <c r="B306">
        <v>1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5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f t="shared" si="15"/>
        <v>5</v>
      </c>
      <c r="AI306">
        <f t="shared" si="16"/>
        <v>30</v>
      </c>
      <c r="AJ306">
        <f t="shared" si="17"/>
        <v>1</v>
      </c>
    </row>
    <row r="307" spans="1:36" x14ac:dyDescent="0.25">
      <c r="A307" s="177"/>
      <c r="B307">
        <v>2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f t="shared" si="15"/>
        <v>0</v>
      </c>
      <c r="AI307">
        <f t="shared" si="16"/>
        <v>31</v>
      </c>
      <c r="AJ307">
        <f t="shared" si="17"/>
        <v>0</v>
      </c>
    </row>
    <row r="308" spans="1:36" x14ac:dyDescent="0.25">
      <c r="A308" s="177"/>
      <c r="B308">
        <v>3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f t="shared" si="15"/>
        <v>0</v>
      </c>
      <c r="AI308">
        <f t="shared" si="16"/>
        <v>31</v>
      </c>
      <c r="AJ308">
        <f t="shared" si="17"/>
        <v>0</v>
      </c>
    </row>
    <row r="309" spans="1:36" x14ac:dyDescent="0.25">
      <c r="A309" s="177"/>
      <c r="B309">
        <v>4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f t="shared" si="15"/>
        <v>0</v>
      </c>
      <c r="AI309">
        <f t="shared" si="16"/>
        <v>31</v>
      </c>
      <c r="AJ309">
        <f t="shared" si="17"/>
        <v>0</v>
      </c>
    </row>
    <row r="310" spans="1:36" x14ac:dyDescent="0.25">
      <c r="A310" s="177"/>
      <c r="B310">
        <v>5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f t="shared" si="15"/>
        <v>1</v>
      </c>
      <c r="AI310">
        <f t="shared" si="16"/>
        <v>30</v>
      </c>
      <c r="AJ310">
        <f t="shared" si="17"/>
        <v>1</v>
      </c>
    </row>
    <row r="311" spans="1:36" x14ac:dyDescent="0.25">
      <c r="A311" s="177"/>
      <c r="B311">
        <v>6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2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10</v>
      </c>
      <c r="AH311">
        <f t="shared" si="15"/>
        <v>12</v>
      </c>
      <c r="AI311">
        <f t="shared" si="16"/>
        <v>29</v>
      </c>
      <c r="AJ311">
        <f t="shared" si="17"/>
        <v>2</v>
      </c>
    </row>
    <row r="312" spans="1:36" x14ac:dyDescent="0.25">
      <c r="A312" s="177"/>
      <c r="B312">
        <v>7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7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1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3</v>
      </c>
      <c r="AG312">
        <v>0</v>
      </c>
      <c r="AH312">
        <f t="shared" si="15"/>
        <v>12</v>
      </c>
      <c r="AI312">
        <f t="shared" si="16"/>
        <v>27</v>
      </c>
      <c r="AJ312">
        <f t="shared" si="17"/>
        <v>4</v>
      </c>
    </row>
    <row r="313" spans="1:36" x14ac:dyDescent="0.25">
      <c r="A313" s="177"/>
      <c r="B313">
        <v>8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5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f t="shared" si="15"/>
        <v>5</v>
      </c>
      <c r="AI313">
        <f t="shared" si="16"/>
        <v>30</v>
      </c>
      <c r="AJ313">
        <f t="shared" si="17"/>
        <v>1</v>
      </c>
    </row>
    <row r="314" spans="1:36" x14ac:dyDescent="0.25">
      <c r="A314" s="177"/>
      <c r="B314">
        <v>9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3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f t="shared" si="15"/>
        <v>4</v>
      </c>
      <c r="AI314">
        <f t="shared" si="16"/>
        <v>29</v>
      </c>
      <c r="AJ314">
        <f t="shared" si="17"/>
        <v>2</v>
      </c>
    </row>
    <row r="315" spans="1:36" x14ac:dyDescent="0.25">
      <c r="A315" s="177"/>
      <c r="B315">
        <v>10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f t="shared" si="15"/>
        <v>2</v>
      </c>
      <c r="AI315">
        <f t="shared" si="16"/>
        <v>30</v>
      </c>
      <c r="AJ315">
        <f t="shared" si="17"/>
        <v>1</v>
      </c>
    </row>
    <row r="316" spans="1:36" x14ac:dyDescent="0.25">
      <c r="A316" s="177"/>
      <c r="B316">
        <v>11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5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f t="shared" si="15"/>
        <v>5</v>
      </c>
      <c r="AI316">
        <f t="shared" si="16"/>
        <v>30</v>
      </c>
      <c r="AJ316">
        <f t="shared" si="17"/>
        <v>1</v>
      </c>
    </row>
    <row r="317" spans="1:36" x14ac:dyDescent="0.25">
      <c r="A317" s="177"/>
      <c r="B317">
        <v>12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3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f t="shared" si="15"/>
        <v>3</v>
      </c>
      <c r="AI317">
        <f t="shared" si="16"/>
        <v>30</v>
      </c>
      <c r="AJ317">
        <f t="shared" si="17"/>
        <v>1</v>
      </c>
    </row>
    <row r="318" spans="1:36" x14ac:dyDescent="0.25">
      <c r="A318" s="177"/>
      <c r="B318">
        <v>13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1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1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f t="shared" si="15"/>
        <v>3</v>
      </c>
      <c r="AI318">
        <f t="shared" si="16"/>
        <v>28</v>
      </c>
      <c r="AJ318">
        <f t="shared" si="17"/>
        <v>3</v>
      </c>
    </row>
    <row r="319" spans="1:36" x14ac:dyDescent="0.25">
      <c r="A319" s="177"/>
      <c r="B319">
        <v>14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1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f t="shared" si="15"/>
        <v>1</v>
      </c>
      <c r="AI319">
        <f t="shared" si="16"/>
        <v>30</v>
      </c>
      <c r="AJ319">
        <f t="shared" si="17"/>
        <v>1</v>
      </c>
    </row>
    <row r="320" spans="1:36" x14ac:dyDescent="0.25">
      <c r="A320" s="177"/>
      <c r="B320">
        <v>15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f t="shared" si="15"/>
        <v>0</v>
      </c>
      <c r="AI320">
        <f t="shared" si="16"/>
        <v>31</v>
      </c>
      <c r="AJ320">
        <f t="shared" si="17"/>
        <v>0</v>
      </c>
    </row>
    <row r="321" spans="1:36" x14ac:dyDescent="0.25">
      <c r="A321" s="177"/>
      <c r="B321">
        <v>16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f t="shared" si="15"/>
        <v>0</v>
      </c>
      <c r="AI321">
        <f t="shared" si="16"/>
        <v>31</v>
      </c>
      <c r="AJ321">
        <f t="shared" si="17"/>
        <v>0</v>
      </c>
    </row>
    <row r="322" spans="1:36" x14ac:dyDescent="0.25">
      <c r="A322" s="177"/>
      <c r="B322">
        <v>17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f t="shared" si="15"/>
        <v>0</v>
      </c>
      <c r="AI322">
        <f t="shared" si="16"/>
        <v>31</v>
      </c>
      <c r="AJ322">
        <f t="shared" si="17"/>
        <v>0</v>
      </c>
    </row>
    <row r="323" spans="1:36" x14ac:dyDescent="0.25">
      <c r="A323" s="177"/>
      <c r="B323">
        <v>18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f t="shared" ref="AH323:AH368" si="19">SUM(C323:AG323)</f>
        <v>0</v>
      </c>
      <c r="AI323">
        <f t="shared" ref="AI323:AI368" si="20">COUNTIF(C323:AG323,0)</f>
        <v>31</v>
      </c>
      <c r="AJ323">
        <f t="shared" ref="AJ323:AJ368" si="21">31-AI323</f>
        <v>0</v>
      </c>
    </row>
    <row r="324" spans="1:36" x14ac:dyDescent="0.25">
      <c r="A324" s="177"/>
      <c r="B324">
        <v>19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5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f t="shared" si="19"/>
        <v>5</v>
      </c>
      <c r="AI324">
        <f t="shared" si="20"/>
        <v>30</v>
      </c>
      <c r="AJ324">
        <f t="shared" si="21"/>
        <v>1</v>
      </c>
    </row>
    <row r="325" spans="1:36" x14ac:dyDescent="0.25">
      <c r="A325" s="177"/>
      <c r="B325">
        <v>20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3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f t="shared" si="19"/>
        <v>3</v>
      </c>
      <c r="AI325">
        <f t="shared" si="20"/>
        <v>30</v>
      </c>
      <c r="AJ325">
        <f t="shared" si="21"/>
        <v>1</v>
      </c>
    </row>
    <row r="326" spans="1:36" x14ac:dyDescent="0.25">
      <c r="A326" s="177"/>
      <c r="B326">
        <v>21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f t="shared" si="19"/>
        <v>0</v>
      </c>
      <c r="AI326">
        <f t="shared" si="20"/>
        <v>31</v>
      </c>
      <c r="AJ326">
        <f t="shared" si="21"/>
        <v>0</v>
      </c>
    </row>
    <row r="327" spans="1:36" x14ac:dyDescent="0.25">
      <c r="A327" s="177"/>
      <c r="B327">
        <v>22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f t="shared" si="19"/>
        <v>0</v>
      </c>
      <c r="AI327">
        <f t="shared" si="20"/>
        <v>31</v>
      </c>
      <c r="AJ327">
        <f t="shared" si="21"/>
        <v>0</v>
      </c>
    </row>
    <row r="328" spans="1:36" x14ac:dyDescent="0.25">
      <c r="A328" s="177"/>
      <c r="B328">
        <v>23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1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f t="shared" si="19"/>
        <v>1</v>
      </c>
      <c r="AI328">
        <f t="shared" si="20"/>
        <v>30</v>
      </c>
      <c r="AJ328">
        <f t="shared" si="21"/>
        <v>1</v>
      </c>
    </row>
    <row r="329" spans="1:36" x14ac:dyDescent="0.25">
      <c r="A329" s="177"/>
      <c r="B329">
        <v>24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f t="shared" si="19"/>
        <v>1</v>
      </c>
      <c r="AI329">
        <f t="shared" si="20"/>
        <v>30</v>
      </c>
      <c r="AJ329">
        <f t="shared" si="21"/>
        <v>1</v>
      </c>
    </row>
    <row r="330" spans="1:36" x14ac:dyDescent="0.25">
      <c r="A330" s="177"/>
      <c r="B330">
        <v>25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f t="shared" si="19"/>
        <v>0</v>
      </c>
      <c r="AI330">
        <f t="shared" si="20"/>
        <v>31</v>
      </c>
      <c r="AJ330">
        <f t="shared" si="21"/>
        <v>0</v>
      </c>
    </row>
    <row r="331" spans="1:36" x14ac:dyDescent="0.25">
      <c r="A331" s="177"/>
      <c r="B331">
        <v>26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1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f t="shared" si="19"/>
        <v>1</v>
      </c>
      <c r="AI331">
        <f t="shared" si="20"/>
        <v>30</v>
      </c>
      <c r="AJ331">
        <f t="shared" si="21"/>
        <v>1</v>
      </c>
    </row>
    <row r="332" spans="1:36" x14ac:dyDescent="0.25">
      <c r="A332" s="177"/>
      <c r="B332">
        <v>27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f t="shared" si="19"/>
        <v>0</v>
      </c>
      <c r="AI332">
        <f t="shared" si="20"/>
        <v>31</v>
      </c>
      <c r="AJ332">
        <f t="shared" si="21"/>
        <v>0</v>
      </c>
    </row>
    <row r="333" spans="1:36" x14ac:dyDescent="0.25">
      <c r="A333" s="177"/>
      <c r="B333">
        <v>28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f t="shared" si="19"/>
        <v>0</v>
      </c>
      <c r="AI333">
        <f t="shared" si="20"/>
        <v>31</v>
      </c>
      <c r="AJ333">
        <f t="shared" si="21"/>
        <v>0</v>
      </c>
    </row>
    <row r="334" spans="1:36" x14ac:dyDescent="0.25">
      <c r="A334" s="177"/>
      <c r="B334">
        <v>29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f t="shared" si="19"/>
        <v>0</v>
      </c>
      <c r="AI334">
        <f t="shared" si="20"/>
        <v>31</v>
      </c>
      <c r="AJ334">
        <f t="shared" si="21"/>
        <v>0</v>
      </c>
    </row>
    <row r="335" spans="1:36" x14ac:dyDescent="0.25">
      <c r="A335" s="177"/>
      <c r="B335">
        <v>30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1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f t="shared" si="19"/>
        <v>1</v>
      </c>
      <c r="AI335">
        <f t="shared" si="20"/>
        <v>30</v>
      </c>
      <c r="AJ335">
        <f t="shared" si="21"/>
        <v>1</v>
      </c>
    </row>
    <row r="336" spans="1:36" x14ac:dyDescent="0.25">
      <c r="A336" s="177"/>
      <c r="B336">
        <v>31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1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f t="shared" si="19"/>
        <v>1</v>
      </c>
      <c r="AI336">
        <f t="shared" si="20"/>
        <v>30</v>
      </c>
      <c r="AJ336">
        <f t="shared" si="21"/>
        <v>1</v>
      </c>
    </row>
    <row r="337" spans="1:36" x14ac:dyDescent="0.25">
      <c r="A337" s="177"/>
      <c r="B337">
        <v>32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f t="shared" si="19"/>
        <v>0</v>
      </c>
      <c r="AI337">
        <f t="shared" si="20"/>
        <v>31</v>
      </c>
      <c r="AJ337">
        <f t="shared" si="21"/>
        <v>0</v>
      </c>
    </row>
    <row r="338" spans="1:36" x14ac:dyDescent="0.25">
      <c r="A338" s="177"/>
      <c r="B338">
        <v>33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3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f t="shared" si="19"/>
        <v>3</v>
      </c>
      <c r="AI338">
        <f t="shared" si="20"/>
        <v>30</v>
      </c>
      <c r="AJ338">
        <f t="shared" si="21"/>
        <v>1</v>
      </c>
    </row>
    <row r="339" spans="1:36" x14ac:dyDescent="0.25">
      <c r="A339" s="177"/>
      <c r="B339">
        <v>34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f t="shared" si="19"/>
        <v>0</v>
      </c>
      <c r="AI339">
        <f t="shared" si="20"/>
        <v>31</v>
      </c>
      <c r="AJ339">
        <f t="shared" si="21"/>
        <v>0</v>
      </c>
    </row>
    <row r="340" spans="1:36" x14ac:dyDescent="0.25">
      <c r="A340" s="177"/>
      <c r="B340">
        <v>35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3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f t="shared" si="19"/>
        <v>3</v>
      </c>
      <c r="AI340">
        <f t="shared" si="20"/>
        <v>30</v>
      </c>
      <c r="AJ340">
        <f t="shared" si="21"/>
        <v>1</v>
      </c>
    </row>
    <row r="341" spans="1:36" x14ac:dyDescent="0.25">
      <c r="A341" s="177"/>
      <c r="B341">
        <v>36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3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f t="shared" si="19"/>
        <v>3</v>
      </c>
      <c r="AI341">
        <f t="shared" si="20"/>
        <v>30</v>
      </c>
      <c r="AJ341">
        <f t="shared" si="21"/>
        <v>1</v>
      </c>
    </row>
    <row r="342" spans="1:36" x14ac:dyDescent="0.25">
      <c r="A342" s="177"/>
      <c r="B342">
        <v>37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3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f t="shared" si="19"/>
        <v>3</v>
      </c>
      <c r="AI342">
        <f t="shared" si="20"/>
        <v>30</v>
      </c>
      <c r="AJ342">
        <f t="shared" si="21"/>
        <v>1</v>
      </c>
    </row>
    <row r="343" spans="1:36" x14ac:dyDescent="0.25">
      <c r="A343" s="177"/>
      <c r="B343">
        <v>38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f t="shared" si="19"/>
        <v>0</v>
      </c>
      <c r="AI343">
        <f t="shared" si="20"/>
        <v>31</v>
      </c>
      <c r="AJ343">
        <f t="shared" si="21"/>
        <v>0</v>
      </c>
    </row>
    <row r="344" spans="1:36" x14ac:dyDescent="0.25">
      <c r="A344" s="177"/>
      <c r="B344">
        <v>39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4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f t="shared" si="19"/>
        <v>4</v>
      </c>
      <c r="AI344">
        <f t="shared" si="20"/>
        <v>30</v>
      </c>
      <c r="AJ344">
        <f t="shared" si="21"/>
        <v>1</v>
      </c>
    </row>
    <row r="345" spans="1:36" x14ac:dyDescent="0.25">
      <c r="A345" s="177"/>
      <c r="B345">
        <v>40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8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f t="shared" si="19"/>
        <v>8</v>
      </c>
      <c r="AI345">
        <f t="shared" si="20"/>
        <v>30</v>
      </c>
      <c r="AJ345">
        <f t="shared" si="21"/>
        <v>1</v>
      </c>
    </row>
    <row r="346" spans="1:36" x14ac:dyDescent="0.25">
      <c r="A346" s="177"/>
      <c r="B346">
        <v>41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4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f t="shared" si="19"/>
        <v>4</v>
      </c>
      <c r="AI346">
        <f t="shared" si="20"/>
        <v>30</v>
      </c>
      <c r="AJ346">
        <f t="shared" si="21"/>
        <v>1</v>
      </c>
    </row>
    <row r="347" spans="1:36" x14ac:dyDescent="0.25">
      <c r="A347" s="177"/>
      <c r="B347">
        <v>42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6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1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f t="shared" si="19"/>
        <v>7</v>
      </c>
      <c r="AI347">
        <f t="shared" si="20"/>
        <v>29</v>
      </c>
      <c r="AJ347">
        <f t="shared" si="21"/>
        <v>2</v>
      </c>
    </row>
    <row r="348" spans="1:36" x14ac:dyDescent="0.25">
      <c r="A348" s="177"/>
      <c r="B348">
        <v>43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2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f t="shared" si="19"/>
        <v>2</v>
      </c>
      <c r="AI348">
        <f t="shared" si="20"/>
        <v>30</v>
      </c>
      <c r="AJ348">
        <f t="shared" si="21"/>
        <v>1</v>
      </c>
    </row>
    <row r="349" spans="1:36" x14ac:dyDescent="0.25">
      <c r="A349" s="177"/>
      <c r="B349">
        <v>44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1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f t="shared" si="19"/>
        <v>1</v>
      </c>
      <c r="AI349">
        <f t="shared" si="20"/>
        <v>30</v>
      </c>
      <c r="AJ349">
        <f t="shared" si="21"/>
        <v>1</v>
      </c>
    </row>
    <row r="350" spans="1:36" x14ac:dyDescent="0.25">
      <c r="A350" s="177"/>
      <c r="B350">
        <v>45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f t="shared" si="19"/>
        <v>0</v>
      </c>
      <c r="AI350">
        <f t="shared" si="20"/>
        <v>31</v>
      </c>
      <c r="AJ350">
        <f t="shared" si="21"/>
        <v>0</v>
      </c>
    </row>
    <row r="351" spans="1:36" x14ac:dyDescent="0.25">
      <c r="A351" s="177"/>
      <c r="B351">
        <v>46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1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f t="shared" si="19"/>
        <v>1</v>
      </c>
      <c r="AI351">
        <f t="shared" si="20"/>
        <v>30</v>
      </c>
      <c r="AJ351">
        <f t="shared" si="21"/>
        <v>1</v>
      </c>
    </row>
    <row r="352" spans="1:36" x14ac:dyDescent="0.25">
      <c r="A352" s="177"/>
      <c r="B352">
        <v>47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f t="shared" si="19"/>
        <v>1</v>
      </c>
      <c r="AI352">
        <f t="shared" si="20"/>
        <v>30</v>
      </c>
      <c r="AJ352">
        <f t="shared" si="21"/>
        <v>1</v>
      </c>
    </row>
    <row r="353" spans="1:36" x14ac:dyDescent="0.25">
      <c r="A353" s="177"/>
      <c r="B353">
        <v>48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1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1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f t="shared" si="19"/>
        <v>2</v>
      </c>
      <c r="AI353">
        <f t="shared" si="20"/>
        <v>29</v>
      </c>
      <c r="AJ353">
        <f t="shared" si="21"/>
        <v>2</v>
      </c>
    </row>
    <row r="354" spans="1:36" x14ac:dyDescent="0.25">
      <c r="A354" s="177"/>
      <c r="B354">
        <v>49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4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f t="shared" si="19"/>
        <v>4</v>
      </c>
      <c r="AI354">
        <f t="shared" si="20"/>
        <v>30</v>
      </c>
      <c r="AJ354">
        <f t="shared" si="21"/>
        <v>1</v>
      </c>
    </row>
    <row r="355" spans="1:36" x14ac:dyDescent="0.25">
      <c r="A355" s="177"/>
      <c r="B355">
        <v>50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3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2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f t="shared" si="19"/>
        <v>5</v>
      </c>
      <c r="AI355">
        <f t="shared" si="20"/>
        <v>29</v>
      </c>
      <c r="AJ355">
        <f t="shared" si="21"/>
        <v>2</v>
      </c>
    </row>
    <row r="356" spans="1:36" x14ac:dyDescent="0.25">
      <c r="A356" s="177"/>
      <c r="B356">
        <v>51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f t="shared" si="19"/>
        <v>0</v>
      </c>
      <c r="AI356">
        <f t="shared" si="20"/>
        <v>31</v>
      </c>
      <c r="AJ356">
        <f t="shared" si="21"/>
        <v>0</v>
      </c>
    </row>
    <row r="357" spans="1:36" x14ac:dyDescent="0.25">
      <c r="A357" s="177"/>
      <c r="B357">
        <v>52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f t="shared" si="19"/>
        <v>0</v>
      </c>
      <c r="AI357">
        <f t="shared" si="20"/>
        <v>31</v>
      </c>
      <c r="AJ357">
        <f t="shared" si="21"/>
        <v>0</v>
      </c>
    </row>
    <row r="358" spans="1:36" x14ac:dyDescent="0.25">
      <c r="A358" s="177"/>
      <c r="B358">
        <v>53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f t="shared" si="19"/>
        <v>0</v>
      </c>
      <c r="AI358">
        <f t="shared" si="20"/>
        <v>31</v>
      </c>
      <c r="AJ358">
        <f t="shared" si="21"/>
        <v>0</v>
      </c>
    </row>
    <row r="359" spans="1:36" x14ac:dyDescent="0.25">
      <c r="A359" s="177"/>
      <c r="B359">
        <v>54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1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f t="shared" si="19"/>
        <v>1</v>
      </c>
      <c r="AI359">
        <f t="shared" si="20"/>
        <v>30</v>
      </c>
      <c r="AJ359">
        <f t="shared" si="21"/>
        <v>1</v>
      </c>
    </row>
    <row r="360" spans="1:36" x14ac:dyDescent="0.25">
      <c r="A360" s="177"/>
      <c r="B360">
        <v>55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2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f t="shared" si="19"/>
        <v>2</v>
      </c>
      <c r="AI360">
        <f t="shared" si="20"/>
        <v>30</v>
      </c>
      <c r="AJ360">
        <f t="shared" si="21"/>
        <v>1</v>
      </c>
    </row>
    <row r="361" spans="1:36" x14ac:dyDescent="0.25">
      <c r="A361" s="177"/>
      <c r="B361">
        <v>56</v>
      </c>
      <c r="C361">
        <v>1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f t="shared" si="19"/>
        <v>1</v>
      </c>
      <c r="AI361">
        <f t="shared" si="20"/>
        <v>30</v>
      </c>
      <c r="AJ361">
        <f t="shared" si="21"/>
        <v>1</v>
      </c>
    </row>
    <row r="362" spans="1:36" x14ac:dyDescent="0.25">
      <c r="A362" s="177"/>
      <c r="B362">
        <v>57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f t="shared" si="19"/>
        <v>0</v>
      </c>
      <c r="AI362">
        <f t="shared" si="20"/>
        <v>31</v>
      </c>
      <c r="AJ362">
        <f t="shared" si="21"/>
        <v>0</v>
      </c>
    </row>
    <row r="363" spans="1:36" x14ac:dyDescent="0.25">
      <c r="A363" s="177"/>
      <c r="B363">
        <v>58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f t="shared" si="19"/>
        <v>0</v>
      </c>
      <c r="AI363">
        <f t="shared" si="20"/>
        <v>31</v>
      </c>
      <c r="AJ363">
        <f t="shared" si="21"/>
        <v>0</v>
      </c>
    </row>
    <row r="364" spans="1:36" x14ac:dyDescent="0.25">
      <c r="A364" s="177"/>
      <c r="B364">
        <v>59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f t="shared" si="19"/>
        <v>0</v>
      </c>
      <c r="AI364">
        <f t="shared" si="20"/>
        <v>31</v>
      </c>
      <c r="AJ364">
        <f t="shared" si="21"/>
        <v>0</v>
      </c>
    </row>
    <row r="365" spans="1:36" x14ac:dyDescent="0.25">
      <c r="A365" s="177"/>
      <c r="B365">
        <v>60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1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f t="shared" si="19"/>
        <v>1</v>
      </c>
      <c r="AI365">
        <f t="shared" si="20"/>
        <v>30</v>
      </c>
      <c r="AJ365">
        <f t="shared" si="21"/>
        <v>1</v>
      </c>
    </row>
    <row r="366" spans="1:36" ht="15.75" x14ac:dyDescent="0.25">
      <c r="A366" s="177"/>
      <c r="B366">
        <v>61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>
        <f t="shared" si="19"/>
        <v>0</v>
      </c>
      <c r="AI366">
        <f t="shared" si="20"/>
        <v>31</v>
      </c>
      <c r="AJ366">
        <f t="shared" si="21"/>
        <v>0</v>
      </c>
    </row>
    <row r="367" spans="1:36" ht="15.75" x14ac:dyDescent="0.25">
      <c r="A367" s="177"/>
      <c r="B367">
        <v>62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1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>
        <f t="shared" si="19"/>
        <v>1</v>
      </c>
      <c r="AI367">
        <f t="shared" si="20"/>
        <v>30</v>
      </c>
      <c r="AJ367">
        <f t="shared" si="21"/>
        <v>1</v>
      </c>
    </row>
    <row r="368" spans="1:36" s="108" customFormat="1" ht="15.75" x14ac:dyDescent="0.25">
      <c r="B368" s="125"/>
      <c r="C368" s="108">
        <f>SUM(C306:C367)</f>
        <v>1</v>
      </c>
      <c r="D368" s="108">
        <f t="shared" ref="D368:AG368" si="22">SUM(D306:D367)</f>
        <v>0</v>
      </c>
      <c r="E368" s="108">
        <f t="shared" si="22"/>
        <v>0</v>
      </c>
      <c r="F368" s="108">
        <f t="shared" si="22"/>
        <v>0</v>
      </c>
      <c r="G368" s="108">
        <f t="shared" si="22"/>
        <v>0</v>
      </c>
      <c r="H368" s="108">
        <f t="shared" si="22"/>
        <v>0</v>
      </c>
      <c r="I368" s="108">
        <f t="shared" si="22"/>
        <v>12</v>
      </c>
      <c r="J368" s="108">
        <f t="shared" si="22"/>
        <v>0</v>
      </c>
      <c r="K368" s="108">
        <f t="shared" si="22"/>
        <v>2</v>
      </c>
      <c r="L368" s="108">
        <f t="shared" si="22"/>
        <v>0</v>
      </c>
      <c r="M368" s="108">
        <f t="shared" si="22"/>
        <v>32</v>
      </c>
      <c r="N368" s="108">
        <f t="shared" si="22"/>
        <v>2</v>
      </c>
      <c r="O368" s="108">
        <f t="shared" si="22"/>
        <v>36</v>
      </c>
      <c r="P368" s="108">
        <f t="shared" si="22"/>
        <v>4</v>
      </c>
      <c r="Q368" s="108">
        <f t="shared" si="22"/>
        <v>0</v>
      </c>
      <c r="R368" s="108">
        <f t="shared" si="22"/>
        <v>0</v>
      </c>
      <c r="S368" s="108">
        <f t="shared" si="22"/>
        <v>4</v>
      </c>
      <c r="T368" s="108">
        <f t="shared" si="22"/>
        <v>1</v>
      </c>
      <c r="U368" s="108">
        <f t="shared" si="22"/>
        <v>0</v>
      </c>
      <c r="V368" s="108">
        <f t="shared" si="22"/>
        <v>0</v>
      </c>
      <c r="W368" s="108">
        <f t="shared" si="22"/>
        <v>0</v>
      </c>
      <c r="X368" s="108">
        <f t="shared" si="22"/>
        <v>16</v>
      </c>
      <c r="Y368" s="108">
        <f t="shared" si="22"/>
        <v>0</v>
      </c>
      <c r="Z368" s="108">
        <f t="shared" si="22"/>
        <v>0</v>
      </c>
      <c r="AA368" s="108">
        <f t="shared" si="22"/>
        <v>0</v>
      </c>
      <c r="AB368" s="108">
        <f t="shared" si="22"/>
        <v>0</v>
      </c>
      <c r="AC368" s="108">
        <f t="shared" si="22"/>
        <v>0</v>
      </c>
      <c r="AD368" s="108">
        <f t="shared" si="22"/>
        <v>0</v>
      </c>
      <c r="AE368" s="108">
        <f t="shared" si="22"/>
        <v>0</v>
      </c>
      <c r="AF368" s="108">
        <f t="shared" si="22"/>
        <v>3</v>
      </c>
      <c r="AG368" s="108">
        <f t="shared" si="22"/>
        <v>10</v>
      </c>
      <c r="AH368" s="108">
        <f t="shared" si="19"/>
        <v>123</v>
      </c>
      <c r="AI368" s="108">
        <f t="shared" si="20"/>
        <v>19</v>
      </c>
      <c r="AJ368" s="108">
        <f t="shared" si="21"/>
        <v>12</v>
      </c>
    </row>
  </sheetData>
  <mergeCells count="5">
    <mergeCell ref="A306:A367"/>
    <mergeCell ref="A2:A81"/>
    <mergeCell ref="A83:A162"/>
    <mergeCell ref="A164:A243"/>
    <mergeCell ref="A245:A304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5"/>
  <sheetViews>
    <sheetView topLeftCell="J1" zoomScale="90" zoomScaleNormal="90" workbookViewId="0">
      <selection activeCell="AB8" sqref="AB8"/>
    </sheetView>
  </sheetViews>
  <sheetFormatPr defaultRowHeight="15" x14ac:dyDescent="0.25"/>
  <cols>
    <col min="1" max="1" width="5.42578125" customWidth="1"/>
    <col min="2" max="2" width="6.7109375" customWidth="1"/>
    <col min="3" max="3" width="12" customWidth="1"/>
    <col min="4" max="4" width="11.5703125" customWidth="1"/>
    <col min="5" max="5" width="13" customWidth="1"/>
    <col min="6" max="6" width="5.140625" customWidth="1"/>
    <col min="7" max="7" width="7.5703125" customWidth="1"/>
    <col min="8" max="8" width="8.5703125" customWidth="1"/>
    <col min="9" max="9" width="8.85546875" customWidth="1"/>
    <col min="10" max="10" width="8.7109375" customWidth="1"/>
    <col min="12" max="12" width="9.140625" customWidth="1"/>
    <col min="13" max="13" width="15.42578125" customWidth="1"/>
    <col min="20" max="20" width="10.5703125" bestFit="1" customWidth="1"/>
  </cols>
  <sheetData>
    <row r="1" spans="1:36" x14ac:dyDescent="0.25">
      <c r="A1" t="s">
        <v>140</v>
      </c>
      <c r="L1" s="109"/>
      <c r="M1" s="109"/>
    </row>
    <row r="2" spans="1:36" ht="15" customHeight="1" x14ac:dyDescent="0.25"/>
    <row r="3" spans="1:36" ht="15.75" x14ac:dyDescent="0.25">
      <c r="A3" s="65" t="s">
        <v>98</v>
      </c>
      <c r="B3" s="22" t="s">
        <v>6</v>
      </c>
      <c r="C3" s="22" t="s">
        <v>88</v>
      </c>
      <c r="D3" s="22" t="s">
        <v>3</v>
      </c>
      <c r="E3" s="22" t="s">
        <v>65</v>
      </c>
      <c r="F3" s="22" t="s">
        <v>66</v>
      </c>
      <c r="G3" s="23" t="s">
        <v>79</v>
      </c>
      <c r="H3" s="23" t="s">
        <v>81</v>
      </c>
      <c r="I3" s="23" t="s">
        <v>80</v>
      </c>
      <c r="J3" s="23" t="s">
        <v>100</v>
      </c>
      <c r="L3" s="27"/>
      <c r="M3" s="27" t="s">
        <v>160</v>
      </c>
      <c r="N3" s="27" t="s">
        <v>140</v>
      </c>
      <c r="O3" s="27" t="s">
        <v>141</v>
      </c>
      <c r="P3" s="27" t="s">
        <v>142</v>
      </c>
      <c r="Q3" s="27" t="s">
        <v>143</v>
      </c>
      <c r="R3" s="27" t="s">
        <v>144</v>
      </c>
      <c r="S3" s="27" t="s">
        <v>148</v>
      </c>
      <c r="U3" s="27"/>
      <c r="V3" s="27" t="s">
        <v>160</v>
      </c>
      <c r="W3" s="27" t="s">
        <v>140</v>
      </c>
      <c r="X3" s="27" t="s">
        <v>141</v>
      </c>
      <c r="Y3" s="27" t="s">
        <v>142</v>
      </c>
      <c r="Z3" s="27" t="s">
        <v>143</v>
      </c>
      <c r="AA3" s="27" t="s">
        <v>144</v>
      </c>
      <c r="AB3" s="27" t="s">
        <v>148</v>
      </c>
    </row>
    <row r="4" spans="1:36" ht="15.75" x14ac:dyDescent="0.25">
      <c r="A4" s="139">
        <v>1</v>
      </c>
      <c r="B4" s="8" t="s">
        <v>158</v>
      </c>
      <c r="C4" s="21" t="s">
        <v>89</v>
      </c>
      <c r="D4" s="21" t="s">
        <v>21</v>
      </c>
      <c r="E4" s="21" t="s">
        <v>177</v>
      </c>
      <c r="F4" s="8">
        <v>1</v>
      </c>
      <c r="G4" s="19">
        <f>F4/210</f>
        <v>4.7619047619047623E-3</v>
      </c>
      <c r="H4" s="20">
        <f>LN(G4)</f>
        <v>-5.3471075307174685</v>
      </c>
      <c r="I4" s="19">
        <f>G4*H4</f>
        <v>-2.5462416812940328E-2</v>
      </c>
      <c r="J4" s="35">
        <f>G4^2</f>
        <v>2.2675736961451251E-5</v>
      </c>
      <c r="M4" t="s">
        <v>158</v>
      </c>
      <c r="N4">
        <v>2</v>
      </c>
      <c r="O4">
        <v>1</v>
      </c>
      <c r="P4">
        <v>3</v>
      </c>
      <c r="Q4">
        <v>2</v>
      </c>
      <c r="R4">
        <v>1</v>
      </c>
      <c r="S4">
        <f>SUM(N4:R4)</f>
        <v>9</v>
      </c>
      <c r="V4" t="s">
        <v>158</v>
      </c>
      <c r="W4" s="88">
        <f>N4/M10</f>
        <v>2.0833333333333333E-3</v>
      </c>
      <c r="X4" s="88">
        <f>O4/N10</f>
        <v>1.0416666666666667E-3</v>
      </c>
      <c r="Y4" s="88">
        <f>P4/O10</f>
        <v>3.1250000000000002E-3</v>
      </c>
      <c r="Z4" s="88">
        <f>Q4/P10</f>
        <v>2.0833333333333333E-3</v>
      </c>
      <c r="AA4" s="88">
        <f>R4/Q10</f>
        <v>1.0416666666666667E-3</v>
      </c>
      <c r="AB4" s="88">
        <v>9.3749999999999997E-3</v>
      </c>
    </row>
    <row r="5" spans="1:36" ht="15.75" x14ac:dyDescent="0.25">
      <c r="A5" s="139">
        <v>2</v>
      </c>
      <c r="B5" s="8" t="s">
        <v>22</v>
      </c>
      <c r="C5" s="21" t="s">
        <v>89</v>
      </c>
      <c r="D5" s="8" t="s">
        <v>21</v>
      </c>
      <c r="E5" s="8" t="s">
        <v>67</v>
      </c>
      <c r="F5" s="8">
        <v>1</v>
      </c>
      <c r="G5" s="19">
        <f>F5/210</f>
        <v>4.7619047619047623E-3</v>
      </c>
      <c r="H5" s="20">
        <f>LN(G5)</f>
        <v>-5.3471075307174685</v>
      </c>
      <c r="I5" s="19">
        <f>G5*H5</f>
        <v>-2.5462416812940328E-2</v>
      </c>
      <c r="J5" s="35">
        <f>G5^2</f>
        <v>2.2675736961451251E-5</v>
      </c>
      <c r="M5" t="s">
        <v>28</v>
      </c>
      <c r="N5">
        <f>SUM(F6,F18,F19)</f>
        <v>6</v>
      </c>
      <c r="O5">
        <f>SUM(F49,F51)</f>
        <v>5</v>
      </c>
      <c r="P5">
        <f>SUM(F60,F71)</f>
        <v>18</v>
      </c>
      <c r="Q5">
        <f>SUM(F93)</f>
        <v>2</v>
      </c>
      <c r="R5">
        <v>0</v>
      </c>
      <c r="S5">
        <f>SUM(N5:R5)</f>
        <v>31</v>
      </c>
      <c r="V5" t="s">
        <v>28</v>
      </c>
      <c r="W5" s="88">
        <f>N5/M12</f>
        <v>6.2500000000000003E-3</v>
      </c>
      <c r="X5" s="88">
        <f t="shared" ref="W5:AA7" si="0">O5/N12</f>
        <v>5.208333333333333E-3</v>
      </c>
      <c r="Y5" s="88">
        <f t="shared" si="0"/>
        <v>1.8749999999999999E-2</v>
      </c>
      <c r="Z5" s="88">
        <f t="shared" si="0"/>
        <v>2.0833333333333333E-3</v>
      </c>
      <c r="AA5" s="88">
        <f t="shared" si="0"/>
        <v>0</v>
      </c>
      <c r="AB5" s="88">
        <v>4.583333333333333E-2</v>
      </c>
    </row>
    <row r="6" spans="1:36" ht="15.75" x14ac:dyDescent="0.25">
      <c r="A6" s="139">
        <v>3</v>
      </c>
      <c r="B6" s="8" t="s">
        <v>28</v>
      </c>
      <c r="C6" s="8" t="s">
        <v>89</v>
      </c>
      <c r="D6" s="8" t="s">
        <v>26</v>
      </c>
      <c r="E6" s="8" t="s">
        <v>67</v>
      </c>
      <c r="F6" s="8">
        <v>4</v>
      </c>
      <c r="G6" s="19">
        <f t="shared" ref="G6:G22" si="1">F6/210</f>
        <v>1.9047619047619049E-2</v>
      </c>
      <c r="H6" s="20">
        <f t="shared" ref="H6:H22" si="2">LN(G6)</f>
        <v>-3.9608131695975781</v>
      </c>
      <c r="I6" s="19">
        <f t="shared" ref="I6:I22" si="3">G6*H6</f>
        <v>-7.5444060373287214E-2</v>
      </c>
      <c r="J6" s="35">
        <f t="shared" ref="J6:J22" si="4">G6^2</f>
        <v>3.6281179138322002E-4</v>
      </c>
      <c r="M6" t="s">
        <v>19</v>
      </c>
      <c r="N6">
        <f>SUM(F7,F21)</f>
        <v>9</v>
      </c>
      <c r="O6">
        <f>SUM(F31)</f>
        <v>3</v>
      </c>
      <c r="P6">
        <f>SUM(F74,F61)</f>
        <v>20</v>
      </c>
      <c r="Q6">
        <v>0</v>
      </c>
      <c r="R6">
        <v>0</v>
      </c>
      <c r="S6">
        <f>SUM(N6:R6)</f>
        <v>32</v>
      </c>
      <c r="V6" t="s">
        <v>19</v>
      </c>
      <c r="W6" s="88">
        <f t="shared" si="0"/>
        <v>9.3749999999999997E-3</v>
      </c>
      <c r="X6" s="88">
        <f t="shared" si="0"/>
        <v>3.1250000000000002E-3</v>
      </c>
      <c r="Y6" s="88">
        <f t="shared" si="0"/>
        <v>2.0833333333333332E-2</v>
      </c>
      <c r="Z6" s="88">
        <f t="shared" si="0"/>
        <v>0</v>
      </c>
      <c r="AA6" s="88">
        <f t="shared" si="0"/>
        <v>0</v>
      </c>
      <c r="AB6" s="88">
        <v>6.0416666666666667E-2</v>
      </c>
    </row>
    <row r="7" spans="1:36" ht="15.75" x14ac:dyDescent="0.25">
      <c r="A7" s="139">
        <v>4</v>
      </c>
      <c r="B7" s="8" t="s">
        <v>19</v>
      </c>
      <c r="C7" s="21" t="s">
        <v>89</v>
      </c>
      <c r="D7" s="21" t="s">
        <v>29</v>
      </c>
      <c r="E7" s="8" t="s">
        <v>67</v>
      </c>
      <c r="F7" s="8">
        <v>6</v>
      </c>
      <c r="G7" s="19">
        <f t="shared" si="1"/>
        <v>2.8571428571428571E-2</v>
      </c>
      <c r="H7" s="20">
        <f t="shared" si="2"/>
        <v>-3.5553480614894135</v>
      </c>
      <c r="I7" s="19">
        <f t="shared" si="3"/>
        <v>-0.10158137318541181</v>
      </c>
      <c r="J7" s="35">
        <f t="shared" si="4"/>
        <v>8.1632653061224482E-4</v>
      </c>
      <c r="M7" t="s">
        <v>7</v>
      </c>
      <c r="N7">
        <f>SUM(F8:F16,F20,F22)</f>
        <v>191</v>
      </c>
      <c r="O7">
        <f>SUM(F32:F48,F50,F52)</f>
        <v>316</v>
      </c>
      <c r="P7">
        <f>SUM(F62:F70,F72:F73)</f>
        <v>159</v>
      </c>
      <c r="Q7">
        <f>SUM(F83:F92,F94:F95)</f>
        <v>98</v>
      </c>
      <c r="R7">
        <f>SUM(F104:F114)</f>
        <v>122</v>
      </c>
      <c r="S7">
        <f>SUM(N7:R7)</f>
        <v>886</v>
      </c>
      <c r="V7" t="s">
        <v>7</v>
      </c>
      <c r="W7" s="88">
        <f>N7/M14</f>
        <v>0.19895833333333332</v>
      </c>
      <c r="X7" s="88">
        <f t="shared" si="0"/>
        <v>0.32916666666666666</v>
      </c>
      <c r="Y7" s="88">
        <f t="shared" si="0"/>
        <v>0.16562499999999999</v>
      </c>
      <c r="Z7" s="88">
        <f t="shared" si="0"/>
        <v>0.10208333333333333</v>
      </c>
      <c r="AA7" s="88">
        <f t="shared" si="0"/>
        <v>0.12708333333333333</v>
      </c>
      <c r="AB7" s="88">
        <v>0.86562499999999998</v>
      </c>
      <c r="AD7" t="s">
        <v>7</v>
      </c>
      <c r="AE7" s="88">
        <v>0.19895833333333332</v>
      </c>
      <c r="AF7" s="88">
        <v>0.32916666666666666</v>
      </c>
      <c r="AG7" s="88">
        <v>0.16562499999999999</v>
      </c>
      <c r="AH7" s="88">
        <v>0.10208333333333333</v>
      </c>
      <c r="AI7" s="88">
        <v>0.12708333333333333</v>
      </c>
      <c r="AJ7" s="88">
        <v>0.86562499999999998</v>
      </c>
    </row>
    <row r="8" spans="1:36" ht="15.75" x14ac:dyDescent="0.25">
      <c r="A8" s="139">
        <v>5</v>
      </c>
      <c r="B8" s="8" t="s">
        <v>7</v>
      </c>
      <c r="C8" s="8" t="s">
        <v>91</v>
      </c>
      <c r="D8" s="8" t="s">
        <v>20</v>
      </c>
      <c r="E8" s="21" t="s">
        <v>9</v>
      </c>
      <c r="F8" s="8">
        <v>7</v>
      </c>
      <c r="G8" s="19">
        <f t="shared" si="1"/>
        <v>3.3333333333333333E-2</v>
      </c>
      <c r="H8" s="20">
        <f t="shared" si="2"/>
        <v>-3.4011973816621555</v>
      </c>
      <c r="I8" s="19">
        <f t="shared" si="3"/>
        <v>-0.11337324605540518</v>
      </c>
      <c r="J8" s="35">
        <f t="shared" si="4"/>
        <v>1.1111111111111111E-3</v>
      </c>
      <c r="M8" t="s">
        <v>159</v>
      </c>
      <c r="N8">
        <v>2</v>
      </c>
      <c r="O8">
        <v>0</v>
      </c>
      <c r="P8">
        <v>0</v>
      </c>
      <c r="Q8">
        <v>0</v>
      </c>
      <c r="R8">
        <v>0</v>
      </c>
      <c r="S8">
        <f>SUM(N8:R8)</f>
        <v>2</v>
      </c>
      <c r="V8" t="s">
        <v>159</v>
      </c>
      <c r="W8" s="88">
        <f>N8/M15</f>
        <v>2.0833333333333333E-3</v>
      </c>
      <c r="X8" s="88">
        <v>0</v>
      </c>
      <c r="Y8" s="88">
        <v>0</v>
      </c>
      <c r="Z8" s="88">
        <v>0</v>
      </c>
      <c r="AA8" s="88">
        <v>0</v>
      </c>
      <c r="AB8" s="88">
        <v>2.0833333333333333E-3</v>
      </c>
    </row>
    <row r="9" spans="1:36" ht="15.75" x14ac:dyDescent="0.25">
      <c r="A9" s="139">
        <v>6</v>
      </c>
      <c r="B9" s="8" t="s">
        <v>7</v>
      </c>
      <c r="C9" s="21" t="s">
        <v>91</v>
      </c>
      <c r="D9" s="8" t="s">
        <v>8</v>
      </c>
      <c r="E9" s="8" t="s">
        <v>167</v>
      </c>
      <c r="F9" s="8">
        <v>10</v>
      </c>
      <c r="G9" s="19">
        <f t="shared" si="1"/>
        <v>4.7619047619047616E-2</v>
      </c>
      <c r="H9" s="20">
        <f t="shared" si="2"/>
        <v>-3.044522437723423</v>
      </c>
      <c r="I9" s="19">
        <f t="shared" si="3"/>
        <v>-0.14497725893921062</v>
      </c>
      <c r="J9" s="35">
        <f t="shared" si="4"/>
        <v>2.2675736961451243E-3</v>
      </c>
      <c r="N9">
        <f t="shared" ref="N9:S9" si="5">SUM(N4:N8)</f>
        <v>210</v>
      </c>
      <c r="O9">
        <f t="shared" si="5"/>
        <v>325</v>
      </c>
      <c r="P9">
        <f t="shared" si="5"/>
        <v>200</v>
      </c>
      <c r="Q9">
        <f t="shared" si="5"/>
        <v>102</v>
      </c>
      <c r="R9">
        <f t="shared" si="5"/>
        <v>123</v>
      </c>
      <c r="S9">
        <f t="shared" si="5"/>
        <v>960</v>
      </c>
    </row>
    <row r="10" spans="1:36" ht="15.75" x14ac:dyDescent="0.25">
      <c r="A10" s="139">
        <v>7</v>
      </c>
      <c r="B10" s="8" t="s">
        <v>7</v>
      </c>
      <c r="C10" s="21" t="s">
        <v>91</v>
      </c>
      <c r="D10" s="8" t="s">
        <v>8</v>
      </c>
      <c r="E10" s="8" t="s">
        <v>168</v>
      </c>
      <c r="F10" s="8">
        <v>1</v>
      </c>
      <c r="G10" s="19">
        <f t="shared" si="1"/>
        <v>4.7619047619047623E-3</v>
      </c>
      <c r="H10" s="20">
        <f t="shared" si="2"/>
        <v>-5.3471075307174685</v>
      </c>
      <c r="I10" s="19">
        <f t="shared" si="3"/>
        <v>-2.5462416812940328E-2</v>
      </c>
      <c r="J10" s="35">
        <f t="shared" si="4"/>
        <v>2.2675736961451251E-5</v>
      </c>
      <c r="M10">
        <v>960</v>
      </c>
      <c r="N10">
        <v>960</v>
      </c>
      <c r="O10">
        <v>960</v>
      </c>
      <c r="P10">
        <v>960</v>
      </c>
      <c r="Q10">
        <v>960</v>
      </c>
      <c r="R10">
        <v>960</v>
      </c>
      <c r="S10">
        <v>960</v>
      </c>
    </row>
    <row r="11" spans="1:36" ht="15.75" x14ac:dyDescent="0.25">
      <c r="A11" s="139">
        <v>8</v>
      </c>
      <c r="B11" s="8" t="s">
        <v>7</v>
      </c>
      <c r="C11" s="21" t="s">
        <v>91</v>
      </c>
      <c r="D11" s="8" t="s">
        <v>8</v>
      </c>
      <c r="E11" s="8" t="s">
        <v>169</v>
      </c>
      <c r="F11" s="8">
        <v>52</v>
      </c>
      <c r="G11" s="19">
        <f t="shared" si="1"/>
        <v>0.24761904761904763</v>
      </c>
      <c r="H11" s="20">
        <f t="shared" si="2"/>
        <v>-1.3958638121360414</v>
      </c>
      <c r="I11" s="19">
        <f t="shared" si="3"/>
        <v>-0.34564246776701979</v>
      </c>
      <c r="J11" s="35">
        <f t="shared" si="4"/>
        <v>6.131519274376418E-2</v>
      </c>
      <c r="M11">
        <v>960</v>
      </c>
      <c r="N11">
        <v>960</v>
      </c>
      <c r="O11">
        <v>960</v>
      </c>
      <c r="P11">
        <v>960</v>
      </c>
      <c r="Q11">
        <v>960</v>
      </c>
      <c r="R11">
        <v>960</v>
      </c>
      <c r="S11">
        <v>960</v>
      </c>
    </row>
    <row r="12" spans="1:36" ht="15.75" x14ac:dyDescent="0.25">
      <c r="A12" s="139">
        <v>9</v>
      </c>
      <c r="B12" s="8" t="s">
        <v>7</v>
      </c>
      <c r="C12" s="21" t="s">
        <v>91</v>
      </c>
      <c r="D12" s="8" t="s">
        <v>8</v>
      </c>
      <c r="E12" s="21" t="s">
        <v>9</v>
      </c>
      <c r="F12" s="8">
        <v>34</v>
      </c>
      <c r="G12" s="19">
        <f t="shared" si="1"/>
        <v>0.16190476190476191</v>
      </c>
      <c r="H12" s="20">
        <f t="shared" si="2"/>
        <v>-1.8207470061013074</v>
      </c>
      <c r="I12" s="19">
        <f t="shared" si="3"/>
        <v>-0.29478761051164026</v>
      </c>
      <c r="J12" s="35">
        <f t="shared" si="4"/>
        <v>2.6213151927437645E-2</v>
      </c>
      <c r="M12">
        <v>960</v>
      </c>
      <c r="N12">
        <v>960</v>
      </c>
      <c r="O12">
        <v>960</v>
      </c>
      <c r="P12">
        <v>960</v>
      </c>
      <c r="Q12">
        <v>960</v>
      </c>
      <c r="R12">
        <v>960</v>
      </c>
      <c r="S12">
        <v>960</v>
      </c>
    </row>
    <row r="13" spans="1:36" ht="15.75" x14ac:dyDescent="0.25">
      <c r="A13" s="139">
        <v>10</v>
      </c>
      <c r="B13" s="8" t="s">
        <v>7</v>
      </c>
      <c r="C13" s="21" t="s">
        <v>91</v>
      </c>
      <c r="D13" s="8" t="s">
        <v>8</v>
      </c>
      <c r="E13" s="21" t="s">
        <v>16</v>
      </c>
      <c r="F13" s="8">
        <v>1</v>
      </c>
      <c r="G13" s="19">
        <f t="shared" si="1"/>
        <v>4.7619047619047623E-3</v>
      </c>
      <c r="H13" s="20">
        <f t="shared" si="2"/>
        <v>-5.3471075307174685</v>
      </c>
      <c r="I13" s="19">
        <f t="shared" si="3"/>
        <v>-2.5462416812940328E-2</v>
      </c>
      <c r="J13" s="35">
        <f t="shared" si="4"/>
        <v>2.2675736961451251E-5</v>
      </c>
      <c r="M13">
        <v>960</v>
      </c>
      <c r="N13">
        <v>960</v>
      </c>
      <c r="O13">
        <v>960</v>
      </c>
      <c r="P13">
        <v>960</v>
      </c>
      <c r="Q13">
        <v>960</v>
      </c>
      <c r="R13">
        <v>960</v>
      </c>
      <c r="S13">
        <v>960</v>
      </c>
    </row>
    <row r="14" spans="1:36" ht="15.75" x14ac:dyDescent="0.25">
      <c r="A14" s="139">
        <v>11</v>
      </c>
      <c r="B14" s="8" t="s">
        <v>7</v>
      </c>
      <c r="C14" s="8" t="s">
        <v>91</v>
      </c>
      <c r="D14" s="8" t="s">
        <v>8</v>
      </c>
      <c r="E14" s="8" t="s">
        <v>170</v>
      </c>
      <c r="F14" s="8">
        <v>8</v>
      </c>
      <c r="G14" s="19">
        <f t="shared" si="1"/>
        <v>3.8095238095238099E-2</v>
      </c>
      <c r="H14" s="20">
        <f t="shared" si="2"/>
        <v>-3.2676659890376327</v>
      </c>
      <c r="I14" s="19">
        <f t="shared" si="3"/>
        <v>-0.1244825138681003</v>
      </c>
      <c r="J14" s="35">
        <f t="shared" si="4"/>
        <v>1.4512471655328801E-3</v>
      </c>
      <c r="M14">
        <v>960</v>
      </c>
      <c r="N14">
        <v>960</v>
      </c>
      <c r="O14">
        <v>960</v>
      </c>
      <c r="P14">
        <v>960</v>
      </c>
      <c r="Q14">
        <v>960</v>
      </c>
      <c r="R14">
        <v>960</v>
      </c>
      <c r="S14">
        <v>960</v>
      </c>
    </row>
    <row r="15" spans="1:36" ht="15.75" x14ac:dyDescent="0.25">
      <c r="A15" s="139">
        <v>12</v>
      </c>
      <c r="B15" s="8" t="s">
        <v>7</v>
      </c>
      <c r="C15" s="21" t="s">
        <v>91</v>
      </c>
      <c r="D15" s="8" t="s">
        <v>12</v>
      </c>
      <c r="E15" s="8" t="s">
        <v>172</v>
      </c>
      <c r="F15" s="8">
        <v>26</v>
      </c>
      <c r="G15" s="19">
        <f t="shared" si="1"/>
        <v>0.12380952380952381</v>
      </c>
      <c r="H15" s="20">
        <f t="shared" si="2"/>
        <v>-2.0890109926959868</v>
      </c>
      <c r="I15" s="19">
        <f t="shared" si="3"/>
        <v>-0.25863945623855078</v>
      </c>
      <c r="J15" s="35">
        <f t="shared" si="4"/>
        <v>1.5328798185941045E-2</v>
      </c>
      <c r="M15">
        <v>960</v>
      </c>
      <c r="N15">
        <v>960</v>
      </c>
      <c r="O15">
        <v>960</v>
      </c>
      <c r="P15">
        <v>960</v>
      </c>
      <c r="Q15">
        <v>960</v>
      </c>
      <c r="R15">
        <v>960</v>
      </c>
      <c r="S15">
        <v>960</v>
      </c>
    </row>
    <row r="16" spans="1:36" ht="15.75" x14ac:dyDescent="0.25">
      <c r="A16" s="139">
        <v>13</v>
      </c>
      <c r="B16" s="8" t="s">
        <v>7</v>
      </c>
      <c r="C16" s="21" t="s">
        <v>91</v>
      </c>
      <c r="D16" s="8" t="s">
        <v>36</v>
      </c>
      <c r="E16" s="21" t="s">
        <v>67</v>
      </c>
      <c r="F16" s="8">
        <v>4</v>
      </c>
      <c r="G16" s="19">
        <f t="shared" si="1"/>
        <v>1.9047619047619049E-2</v>
      </c>
      <c r="H16" s="20">
        <f t="shared" si="2"/>
        <v>-3.9608131695975781</v>
      </c>
      <c r="I16" s="19">
        <f t="shared" si="3"/>
        <v>-7.5444060373287214E-2</v>
      </c>
      <c r="J16" s="35">
        <f t="shared" si="4"/>
        <v>3.6281179138322002E-4</v>
      </c>
      <c r="M16">
        <v>960</v>
      </c>
      <c r="N16">
        <v>960</v>
      </c>
      <c r="O16">
        <v>960</v>
      </c>
      <c r="P16">
        <v>960</v>
      </c>
      <c r="Q16">
        <v>960</v>
      </c>
      <c r="R16">
        <v>960</v>
      </c>
      <c r="S16">
        <v>960</v>
      </c>
    </row>
    <row r="17" spans="1:25" ht="15.75" x14ac:dyDescent="0.25">
      <c r="A17" s="139">
        <v>14</v>
      </c>
      <c r="B17" s="8" t="s">
        <v>159</v>
      </c>
      <c r="C17" s="8" t="s">
        <v>96</v>
      </c>
      <c r="D17" s="8" t="s">
        <v>35</v>
      </c>
      <c r="E17" s="8" t="s">
        <v>67</v>
      </c>
      <c r="F17" s="8">
        <v>2</v>
      </c>
      <c r="G17" s="19">
        <f t="shared" si="1"/>
        <v>9.5238095238095247E-3</v>
      </c>
      <c r="H17" s="20">
        <f t="shared" si="2"/>
        <v>-4.6539603501575231</v>
      </c>
      <c r="I17" s="19">
        <f t="shared" si="3"/>
        <v>-4.4323431906262131E-2</v>
      </c>
      <c r="J17" s="35">
        <f t="shared" si="4"/>
        <v>9.0702947845805004E-5</v>
      </c>
      <c r="M17">
        <v>960</v>
      </c>
      <c r="N17">
        <v>960</v>
      </c>
      <c r="O17">
        <v>960</v>
      </c>
      <c r="P17">
        <v>960</v>
      </c>
      <c r="Q17">
        <v>960</v>
      </c>
      <c r="R17">
        <v>960</v>
      </c>
      <c r="S17">
        <v>960</v>
      </c>
    </row>
    <row r="18" spans="1:25" ht="15.75" x14ac:dyDescent="0.25">
      <c r="A18" s="139">
        <v>15</v>
      </c>
      <c r="B18" s="8" t="s">
        <v>28</v>
      </c>
      <c r="C18" s="8" t="s">
        <v>95</v>
      </c>
      <c r="D18" s="8" t="s">
        <v>25</v>
      </c>
      <c r="E18" s="8" t="s">
        <v>175</v>
      </c>
      <c r="F18" s="8">
        <v>1</v>
      </c>
      <c r="G18" s="19">
        <f t="shared" si="1"/>
        <v>4.7619047619047623E-3</v>
      </c>
      <c r="H18" s="20">
        <f t="shared" si="2"/>
        <v>-5.3471075307174685</v>
      </c>
      <c r="I18" s="19">
        <f t="shared" si="3"/>
        <v>-2.5462416812940328E-2</v>
      </c>
      <c r="J18" s="35">
        <f t="shared" si="4"/>
        <v>2.2675736961451251E-5</v>
      </c>
    </row>
    <row r="19" spans="1:25" ht="15.75" x14ac:dyDescent="0.25">
      <c r="A19" s="139">
        <v>16</v>
      </c>
      <c r="B19" s="8" t="s">
        <v>28</v>
      </c>
      <c r="C19" s="8" t="s">
        <v>95</v>
      </c>
      <c r="D19" s="8" t="s">
        <v>25</v>
      </c>
      <c r="E19" s="8" t="s">
        <v>67</v>
      </c>
      <c r="F19" s="8">
        <v>1</v>
      </c>
      <c r="G19" s="19">
        <f t="shared" si="1"/>
        <v>4.7619047619047623E-3</v>
      </c>
      <c r="H19" s="20">
        <f t="shared" si="2"/>
        <v>-5.3471075307174685</v>
      </c>
      <c r="I19" s="19">
        <f t="shared" si="3"/>
        <v>-2.5462416812940328E-2</v>
      </c>
      <c r="J19" s="35">
        <f t="shared" si="4"/>
        <v>2.2675736961451251E-5</v>
      </c>
    </row>
    <row r="20" spans="1:25" ht="15.75" x14ac:dyDescent="0.25">
      <c r="A20" s="139">
        <v>17</v>
      </c>
      <c r="B20" s="8" t="s">
        <v>7</v>
      </c>
      <c r="C20" s="8" t="s">
        <v>93</v>
      </c>
      <c r="D20" s="8" t="s">
        <v>11</v>
      </c>
      <c r="E20" s="8" t="s">
        <v>60</v>
      </c>
      <c r="F20" s="8">
        <v>7</v>
      </c>
      <c r="G20" s="19">
        <f t="shared" si="1"/>
        <v>3.3333333333333333E-2</v>
      </c>
      <c r="H20" s="20">
        <f t="shared" si="2"/>
        <v>-3.4011973816621555</v>
      </c>
      <c r="I20" s="19">
        <f t="shared" si="3"/>
        <v>-0.11337324605540518</v>
      </c>
      <c r="J20" s="35">
        <f t="shared" si="4"/>
        <v>1.1111111111111111E-3</v>
      </c>
    </row>
    <row r="21" spans="1:25" ht="15.75" x14ac:dyDescent="0.25">
      <c r="A21" s="139">
        <v>18</v>
      </c>
      <c r="B21" s="8" t="s">
        <v>19</v>
      </c>
      <c r="C21" s="8" t="s">
        <v>93</v>
      </c>
      <c r="D21" s="8" t="s">
        <v>62</v>
      </c>
      <c r="E21" s="21" t="s">
        <v>67</v>
      </c>
      <c r="F21" s="8">
        <v>3</v>
      </c>
      <c r="G21" s="19">
        <f t="shared" si="1"/>
        <v>1.4285714285714285E-2</v>
      </c>
      <c r="H21" s="20">
        <f t="shared" si="2"/>
        <v>-4.2484952420493594</v>
      </c>
      <c r="I21" s="19">
        <f t="shared" si="3"/>
        <v>-6.06927891721337E-2</v>
      </c>
      <c r="J21" s="35">
        <f t="shared" si="4"/>
        <v>2.040816326530612E-4</v>
      </c>
    </row>
    <row r="22" spans="1:25" ht="15.75" x14ac:dyDescent="0.25">
      <c r="A22" s="139">
        <v>19</v>
      </c>
      <c r="B22" s="8" t="s">
        <v>7</v>
      </c>
      <c r="C22" s="8" t="s">
        <v>93</v>
      </c>
      <c r="D22" s="8" t="s">
        <v>11</v>
      </c>
      <c r="E22" s="8" t="s">
        <v>67</v>
      </c>
      <c r="F22" s="8">
        <v>41</v>
      </c>
      <c r="G22" s="19">
        <f t="shared" si="1"/>
        <v>0.19523809523809524</v>
      </c>
      <c r="H22" s="20">
        <f t="shared" si="2"/>
        <v>-1.633535464013161</v>
      </c>
      <c r="I22" s="19">
        <f t="shared" si="3"/>
        <v>-0.3189283524978076</v>
      </c>
      <c r="J22" s="35">
        <f t="shared" si="4"/>
        <v>3.8117913832199549E-2</v>
      </c>
    </row>
    <row r="23" spans="1:25" ht="15.75" x14ac:dyDescent="0.25">
      <c r="A23" s="165" t="s">
        <v>82</v>
      </c>
      <c r="B23" s="165"/>
      <c r="C23" s="165"/>
      <c r="D23" s="165"/>
      <c r="E23" s="165"/>
      <c r="F23" s="47">
        <f>SUM(F4:F22)</f>
        <v>210</v>
      </c>
      <c r="G23" s="62">
        <f>SUM(G4:G22)</f>
        <v>0.99999999999999989</v>
      </c>
      <c r="H23" s="47"/>
      <c r="I23" s="63">
        <f>SUM(I4:I22)</f>
        <v>-2.2244643678211635</v>
      </c>
      <c r="J23" s="63">
        <f>SUM(J4:J22)</f>
        <v>0.1488888888888889</v>
      </c>
    </row>
    <row r="24" spans="1:25" ht="15.75" x14ac:dyDescent="0.25">
      <c r="A24" s="166" t="s">
        <v>83</v>
      </c>
      <c r="B24" s="166"/>
      <c r="C24" s="166"/>
      <c r="D24" s="166"/>
      <c r="E24" s="166"/>
      <c r="F24" s="38"/>
      <c r="G24" s="39"/>
      <c r="H24" s="39"/>
      <c r="I24" s="40">
        <f>-(I23)</f>
        <v>2.2244643678211635</v>
      </c>
      <c r="J24" s="39"/>
    </row>
    <row r="25" spans="1:25" ht="15.75" x14ac:dyDescent="0.25">
      <c r="A25" s="167" t="s">
        <v>84</v>
      </c>
      <c r="B25" s="167"/>
      <c r="C25" s="167"/>
      <c r="D25" s="167"/>
      <c r="E25" s="167"/>
      <c r="F25" s="41"/>
      <c r="G25" s="42"/>
      <c r="H25" s="42"/>
      <c r="I25" s="43">
        <f>I24/LN(19)</f>
        <v>0.75547986681350787</v>
      </c>
      <c r="J25" s="42"/>
    </row>
    <row r="26" spans="1:25" ht="15.75" x14ac:dyDescent="0.25">
      <c r="A26" s="168" t="s">
        <v>85</v>
      </c>
      <c r="B26" s="168"/>
      <c r="C26" s="168"/>
      <c r="D26" s="168"/>
      <c r="E26" s="168"/>
      <c r="F26" s="44"/>
      <c r="G26" s="45"/>
      <c r="H26" s="45"/>
      <c r="I26" s="46">
        <f>J23</f>
        <v>0.1488888888888889</v>
      </c>
      <c r="J26" s="45"/>
    </row>
    <row r="28" spans="1:25" x14ac:dyDescent="0.25">
      <c r="A28" t="s">
        <v>141</v>
      </c>
    </row>
    <row r="29" spans="1:25" ht="15.75" x14ac:dyDescent="0.25">
      <c r="A29" s="65" t="s">
        <v>98</v>
      </c>
      <c r="B29" s="37" t="s">
        <v>6</v>
      </c>
      <c r="C29" s="37" t="s">
        <v>88</v>
      </c>
      <c r="D29" s="37" t="s">
        <v>3</v>
      </c>
      <c r="E29" s="37" t="s">
        <v>65</v>
      </c>
      <c r="F29" s="37" t="s">
        <v>66</v>
      </c>
      <c r="G29" s="28" t="s">
        <v>79</v>
      </c>
      <c r="H29" s="28" t="s">
        <v>81</v>
      </c>
      <c r="I29" s="28" t="s">
        <v>80</v>
      </c>
      <c r="J29" s="28" t="s">
        <v>100</v>
      </c>
    </row>
    <row r="30" spans="1:25" ht="15.75" x14ac:dyDescent="0.25">
      <c r="A30" s="139">
        <v>1</v>
      </c>
      <c r="B30" s="59" t="s">
        <v>158</v>
      </c>
      <c r="C30" s="59" t="s">
        <v>89</v>
      </c>
      <c r="D30" s="59" t="s">
        <v>21</v>
      </c>
      <c r="E30" s="59" t="s">
        <v>67</v>
      </c>
      <c r="F30" s="138">
        <v>1</v>
      </c>
      <c r="G30" s="62">
        <f>F30/325</f>
        <v>3.0769230769230769E-3</v>
      </c>
      <c r="H30" s="63">
        <f>LN(G30)</f>
        <v>-5.7838251823297373</v>
      </c>
      <c r="I30" s="63">
        <f>G30*H30</f>
        <v>-1.7796385176399192E-2</v>
      </c>
      <c r="J30" s="48">
        <f>G30^2</f>
        <v>9.4674556213017744E-6</v>
      </c>
      <c r="M30" s="88"/>
      <c r="N30" s="88"/>
      <c r="O30" s="88"/>
      <c r="P30" s="88"/>
      <c r="Q30" s="88"/>
      <c r="R30" s="88"/>
      <c r="T30" s="126"/>
    </row>
    <row r="31" spans="1:25" ht="15.75" x14ac:dyDescent="0.25">
      <c r="A31" s="139">
        <v>2</v>
      </c>
      <c r="B31" s="21" t="s">
        <v>19</v>
      </c>
      <c r="C31" s="21" t="s">
        <v>89</v>
      </c>
      <c r="D31" s="21" t="s">
        <v>29</v>
      </c>
      <c r="E31" s="8" t="s">
        <v>67</v>
      </c>
      <c r="F31" s="139">
        <v>3</v>
      </c>
      <c r="G31" s="19">
        <f t="shared" ref="G31:G52" si="6">F31/325</f>
        <v>9.2307692307692316E-3</v>
      </c>
      <c r="H31" s="20">
        <f t="shared" ref="H31:H52" si="7">LN(G31)</f>
        <v>-4.6852128936616273</v>
      </c>
      <c r="I31" s="20">
        <f t="shared" ref="I31:I52" si="8">G31*H31</f>
        <v>-4.3248119018415028E-2</v>
      </c>
      <c r="J31" s="35">
        <f t="shared" ref="J31:J52" si="9">G31^2</f>
        <v>8.5207100591715986E-5</v>
      </c>
      <c r="L31" s="27"/>
      <c r="M31" s="88"/>
      <c r="N31" s="88"/>
      <c r="O31" s="88"/>
      <c r="P31" s="88"/>
      <c r="Q31" s="88"/>
      <c r="R31" s="88"/>
      <c r="U31" s="126"/>
      <c r="V31" s="126"/>
      <c r="W31" s="126"/>
      <c r="X31" s="126"/>
      <c r="Y31" s="126"/>
    </row>
    <row r="32" spans="1:25" ht="15.75" x14ac:dyDescent="0.25">
      <c r="A32" s="139">
        <v>3</v>
      </c>
      <c r="B32" s="8" t="s">
        <v>7</v>
      </c>
      <c r="C32" s="8" t="s">
        <v>91</v>
      </c>
      <c r="D32" s="8" t="s">
        <v>20</v>
      </c>
      <c r="E32" s="21" t="s">
        <v>9</v>
      </c>
      <c r="F32" s="139">
        <v>4</v>
      </c>
      <c r="G32" s="19">
        <f t="shared" si="6"/>
        <v>1.2307692307692308E-2</v>
      </c>
      <c r="H32" s="20">
        <f t="shared" si="7"/>
        <v>-4.3975308212098465</v>
      </c>
      <c r="I32" s="20">
        <f t="shared" si="8"/>
        <v>-5.4123456261044263E-2</v>
      </c>
      <c r="J32" s="35">
        <f t="shared" si="9"/>
        <v>1.5147928994082839E-4</v>
      </c>
      <c r="M32" s="88"/>
      <c r="N32" s="88"/>
      <c r="O32" s="88"/>
      <c r="P32" s="88"/>
      <c r="Q32" s="88"/>
      <c r="R32" s="88"/>
    </row>
    <row r="33" spans="1:18" ht="15.75" x14ac:dyDescent="0.25">
      <c r="A33" s="139">
        <v>4</v>
      </c>
      <c r="B33" s="8" t="s">
        <v>7</v>
      </c>
      <c r="C33" s="21" t="s">
        <v>91</v>
      </c>
      <c r="D33" s="8" t="s">
        <v>20</v>
      </c>
      <c r="E33" s="21" t="s">
        <v>16</v>
      </c>
      <c r="F33" s="139">
        <v>5</v>
      </c>
      <c r="G33" s="19">
        <f t="shared" si="6"/>
        <v>1.5384615384615385E-2</v>
      </c>
      <c r="H33" s="20">
        <f t="shared" si="7"/>
        <v>-4.1743872698956368</v>
      </c>
      <c r="I33" s="20">
        <f t="shared" si="8"/>
        <v>-6.4221342613779028E-2</v>
      </c>
      <c r="J33" s="35">
        <f t="shared" si="9"/>
        <v>2.366863905325444E-4</v>
      </c>
      <c r="M33" s="88"/>
      <c r="N33" s="88"/>
      <c r="O33" s="88"/>
      <c r="P33" s="88"/>
      <c r="Q33" s="88"/>
      <c r="R33" s="88"/>
    </row>
    <row r="34" spans="1:18" ht="15.75" x14ac:dyDescent="0.25">
      <c r="A34" s="139">
        <v>5</v>
      </c>
      <c r="B34" s="21" t="s">
        <v>7</v>
      </c>
      <c r="C34" s="21" t="s">
        <v>91</v>
      </c>
      <c r="D34" s="8" t="s">
        <v>8</v>
      </c>
      <c r="E34" s="8" t="s">
        <v>167</v>
      </c>
      <c r="F34" s="139">
        <v>36</v>
      </c>
      <c r="G34" s="19">
        <f t="shared" si="6"/>
        <v>0.11076923076923077</v>
      </c>
      <c r="H34" s="20">
        <f t="shared" si="7"/>
        <v>-2.2003062438736274</v>
      </c>
      <c r="I34" s="20">
        <f t="shared" si="8"/>
        <v>-0.2437262300906172</v>
      </c>
      <c r="J34" s="35">
        <f t="shared" si="9"/>
        <v>1.2269822485207102E-2</v>
      </c>
      <c r="L34" s="68"/>
      <c r="M34" s="88"/>
      <c r="N34" s="88"/>
      <c r="O34" s="88"/>
      <c r="P34" s="88"/>
      <c r="Q34" s="88"/>
      <c r="R34" s="88"/>
    </row>
    <row r="35" spans="1:18" ht="15.75" x14ac:dyDescent="0.25">
      <c r="A35" s="139">
        <v>6</v>
      </c>
      <c r="B35" s="21" t="s">
        <v>7</v>
      </c>
      <c r="C35" s="21" t="s">
        <v>91</v>
      </c>
      <c r="D35" s="8" t="s">
        <v>8</v>
      </c>
      <c r="E35" s="8" t="s">
        <v>168</v>
      </c>
      <c r="F35" s="139">
        <v>2</v>
      </c>
      <c r="G35" s="19">
        <f t="shared" si="6"/>
        <v>6.1538461538461538E-3</v>
      </c>
      <c r="H35" s="20">
        <f t="shared" si="7"/>
        <v>-5.0906780017697919</v>
      </c>
      <c r="I35" s="20">
        <f t="shared" si="8"/>
        <v>-3.1327249241660256E-2</v>
      </c>
      <c r="J35" s="35">
        <f t="shared" si="9"/>
        <v>3.7869822485207098E-5</v>
      </c>
      <c r="L35" s="69"/>
      <c r="M35" s="88"/>
      <c r="N35" s="88"/>
      <c r="O35" s="88"/>
      <c r="P35" s="88"/>
      <c r="Q35" s="88"/>
      <c r="R35" s="88"/>
    </row>
    <row r="36" spans="1:18" ht="15.75" x14ac:dyDescent="0.25">
      <c r="A36" s="139">
        <v>7</v>
      </c>
      <c r="B36" s="21" t="s">
        <v>7</v>
      </c>
      <c r="C36" s="21" t="s">
        <v>91</v>
      </c>
      <c r="D36" s="8" t="s">
        <v>8</v>
      </c>
      <c r="E36" s="8" t="s">
        <v>169</v>
      </c>
      <c r="F36" s="139">
        <v>97</v>
      </c>
      <c r="G36" s="19">
        <f t="shared" si="6"/>
        <v>0.29846153846153844</v>
      </c>
      <c r="H36" s="20">
        <f t="shared" si="7"/>
        <v>-1.2091142038263547</v>
      </c>
      <c r="I36" s="20">
        <f t="shared" si="8"/>
        <v>-0.360874085449712</v>
      </c>
      <c r="J36" s="35">
        <f t="shared" si="9"/>
        <v>8.9079289940828393E-2</v>
      </c>
      <c r="L36" s="68"/>
      <c r="M36" s="88"/>
      <c r="N36" s="88"/>
      <c r="O36" s="88"/>
      <c r="P36" s="88"/>
      <c r="Q36" s="88"/>
      <c r="R36" s="88"/>
    </row>
    <row r="37" spans="1:18" ht="15.75" x14ac:dyDescent="0.25">
      <c r="A37" s="139">
        <v>8</v>
      </c>
      <c r="B37" s="8" t="s">
        <v>7</v>
      </c>
      <c r="C37" s="8" t="s">
        <v>91</v>
      </c>
      <c r="D37" s="8" t="s">
        <v>8</v>
      </c>
      <c r="E37" s="8" t="s">
        <v>170</v>
      </c>
      <c r="F37" s="139">
        <v>59</v>
      </c>
      <c r="G37" s="19">
        <f t="shared" si="6"/>
        <v>0.18153846153846154</v>
      </c>
      <c r="H37" s="20">
        <f t="shared" si="7"/>
        <v>-1.706287738424018</v>
      </c>
      <c r="I37" s="20">
        <f t="shared" si="8"/>
        <v>-0.30975685097543709</v>
      </c>
      <c r="J37" s="35">
        <f t="shared" si="9"/>
        <v>3.2956213017751479E-2</v>
      </c>
      <c r="L37" s="69"/>
      <c r="M37" s="88"/>
      <c r="N37" s="88"/>
      <c r="O37" s="88"/>
      <c r="P37" s="88"/>
      <c r="Q37" s="88"/>
      <c r="R37" s="88"/>
    </row>
    <row r="38" spans="1:18" ht="15.75" x14ac:dyDescent="0.25">
      <c r="A38" s="139">
        <v>9</v>
      </c>
      <c r="B38" s="8" t="s">
        <v>7</v>
      </c>
      <c r="C38" s="21" t="s">
        <v>91</v>
      </c>
      <c r="D38" s="8" t="s">
        <v>8</v>
      </c>
      <c r="E38" s="21" t="s">
        <v>9</v>
      </c>
      <c r="F38" s="139">
        <v>13</v>
      </c>
      <c r="G38" s="19">
        <f t="shared" si="6"/>
        <v>0.04</v>
      </c>
      <c r="H38" s="20">
        <f t="shared" si="7"/>
        <v>-3.2188758248682006</v>
      </c>
      <c r="I38" s="20">
        <f t="shared" si="8"/>
        <v>-0.12875503299472801</v>
      </c>
      <c r="J38" s="35">
        <f t="shared" si="9"/>
        <v>1.6000000000000001E-3</v>
      </c>
      <c r="L38" s="68"/>
      <c r="M38" s="88"/>
      <c r="N38" s="88"/>
      <c r="O38" s="88"/>
      <c r="P38" s="88"/>
      <c r="Q38" s="88"/>
      <c r="R38" s="88"/>
    </row>
    <row r="39" spans="1:18" ht="15.75" x14ac:dyDescent="0.25">
      <c r="A39" s="139">
        <v>10</v>
      </c>
      <c r="B39" s="8" t="s">
        <v>7</v>
      </c>
      <c r="C39" s="21" t="s">
        <v>91</v>
      </c>
      <c r="D39" s="8" t="s">
        <v>8</v>
      </c>
      <c r="E39" s="21" t="s">
        <v>16</v>
      </c>
      <c r="F39" s="139">
        <v>2</v>
      </c>
      <c r="G39" s="19">
        <f t="shared" si="6"/>
        <v>6.1538461538461538E-3</v>
      </c>
      <c r="H39" s="20">
        <f t="shared" si="7"/>
        <v>-5.0906780017697919</v>
      </c>
      <c r="I39" s="20">
        <f t="shared" si="8"/>
        <v>-3.1327249241660256E-2</v>
      </c>
      <c r="J39" s="35">
        <f t="shared" si="9"/>
        <v>3.7869822485207098E-5</v>
      </c>
      <c r="L39" s="68"/>
      <c r="M39" s="88"/>
      <c r="N39" s="88"/>
      <c r="O39" s="88"/>
      <c r="P39" s="88"/>
      <c r="Q39" s="88"/>
      <c r="R39" s="88"/>
    </row>
    <row r="40" spans="1:18" ht="15.75" x14ac:dyDescent="0.25">
      <c r="A40" s="139">
        <v>11</v>
      </c>
      <c r="B40" s="8" t="s">
        <v>7</v>
      </c>
      <c r="C40" s="21" t="s">
        <v>91</v>
      </c>
      <c r="D40" s="8" t="s">
        <v>8</v>
      </c>
      <c r="E40" s="21" t="s">
        <v>23</v>
      </c>
      <c r="F40" s="139">
        <v>5</v>
      </c>
      <c r="G40" s="19">
        <f t="shared" si="6"/>
        <v>1.5384615384615385E-2</v>
      </c>
      <c r="H40" s="20">
        <f t="shared" si="7"/>
        <v>-4.1743872698956368</v>
      </c>
      <c r="I40" s="20">
        <f t="shared" si="8"/>
        <v>-6.4221342613779028E-2</v>
      </c>
      <c r="J40" s="35">
        <f t="shared" si="9"/>
        <v>2.366863905325444E-4</v>
      </c>
      <c r="L40" s="69"/>
      <c r="M40" s="88"/>
      <c r="N40" s="88"/>
      <c r="O40" s="88"/>
      <c r="P40" s="88"/>
      <c r="Q40" s="88"/>
      <c r="R40" s="88"/>
    </row>
    <row r="41" spans="1:18" ht="15.75" x14ac:dyDescent="0.25">
      <c r="A41" s="139">
        <v>12</v>
      </c>
      <c r="B41" s="8" t="s">
        <v>7</v>
      </c>
      <c r="C41" s="21" t="s">
        <v>91</v>
      </c>
      <c r="D41" s="8" t="s">
        <v>8</v>
      </c>
      <c r="E41" s="21" t="s">
        <v>31</v>
      </c>
      <c r="F41" s="139">
        <v>1</v>
      </c>
      <c r="G41" s="19">
        <f t="shared" si="6"/>
        <v>3.0769230769230769E-3</v>
      </c>
      <c r="H41" s="20">
        <f t="shared" si="7"/>
        <v>-5.7838251823297373</v>
      </c>
      <c r="I41" s="20">
        <f t="shared" si="8"/>
        <v>-1.7796385176399192E-2</v>
      </c>
      <c r="J41" s="35">
        <f t="shared" si="9"/>
        <v>9.4674556213017744E-6</v>
      </c>
      <c r="L41" s="69"/>
      <c r="M41" s="88"/>
      <c r="N41" s="88"/>
      <c r="O41" s="88"/>
      <c r="P41" s="88"/>
      <c r="Q41" s="88"/>
      <c r="R41" s="88"/>
    </row>
    <row r="42" spans="1:18" ht="15.75" x14ac:dyDescent="0.25">
      <c r="A42" s="139">
        <v>13</v>
      </c>
      <c r="B42" s="8" t="s">
        <v>7</v>
      </c>
      <c r="C42" s="21" t="s">
        <v>91</v>
      </c>
      <c r="D42" s="8" t="s">
        <v>14</v>
      </c>
      <c r="E42" s="21" t="s">
        <v>9</v>
      </c>
      <c r="F42" s="139">
        <v>2</v>
      </c>
      <c r="G42" s="19">
        <f t="shared" si="6"/>
        <v>6.1538461538461538E-3</v>
      </c>
      <c r="H42" s="20">
        <f t="shared" si="7"/>
        <v>-5.0906780017697919</v>
      </c>
      <c r="I42" s="20">
        <f t="shared" si="8"/>
        <v>-3.1327249241660256E-2</v>
      </c>
      <c r="J42" s="35">
        <f t="shared" si="9"/>
        <v>3.7869822485207098E-5</v>
      </c>
      <c r="L42" s="69"/>
      <c r="M42" s="88"/>
      <c r="N42" s="88"/>
      <c r="O42" s="88"/>
      <c r="P42" s="88"/>
      <c r="Q42" s="88"/>
      <c r="R42" s="88"/>
    </row>
    <row r="43" spans="1:18" ht="15.75" x14ac:dyDescent="0.25">
      <c r="A43" s="139">
        <v>14</v>
      </c>
      <c r="B43" s="8" t="s">
        <v>7</v>
      </c>
      <c r="C43" s="21" t="s">
        <v>91</v>
      </c>
      <c r="D43" s="8" t="s">
        <v>14</v>
      </c>
      <c r="E43" s="21" t="s">
        <v>16</v>
      </c>
      <c r="F43" s="139">
        <v>4</v>
      </c>
      <c r="G43" s="19">
        <f t="shared" si="6"/>
        <v>1.2307692307692308E-2</v>
      </c>
      <c r="H43" s="20">
        <f t="shared" si="7"/>
        <v>-4.3975308212098465</v>
      </c>
      <c r="I43" s="20">
        <f t="shared" si="8"/>
        <v>-5.4123456261044263E-2</v>
      </c>
      <c r="J43" s="35">
        <f t="shared" si="9"/>
        <v>1.5147928994082839E-4</v>
      </c>
      <c r="L43" s="69"/>
      <c r="M43" s="88"/>
      <c r="N43" s="88"/>
      <c r="O43" s="88"/>
      <c r="P43" s="88"/>
      <c r="Q43" s="88"/>
      <c r="R43" s="88"/>
    </row>
    <row r="44" spans="1:18" ht="15.75" x14ac:dyDescent="0.25">
      <c r="A44" s="139">
        <v>15</v>
      </c>
      <c r="B44" s="8" t="s">
        <v>7</v>
      </c>
      <c r="C44" s="21" t="s">
        <v>91</v>
      </c>
      <c r="D44" s="8" t="s">
        <v>14</v>
      </c>
      <c r="E44" s="21" t="s">
        <v>23</v>
      </c>
      <c r="F44" s="139">
        <v>1</v>
      </c>
      <c r="G44" s="19">
        <f t="shared" si="6"/>
        <v>3.0769230769230769E-3</v>
      </c>
      <c r="H44" s="20">
        <f t="shared" si="7"/>
        <v>-5.7838251823297373</v>
      </c>
      <c r="I44" s="20">
        <f t="shared" si="8"/>
        <v>-1.7796385176399192E-2</v>
      </c>
      <c r="J44" s="35">
        <f t="shared" si="9"/>
        <v>9.4674556213017744E-6</v>
      </c>
      <c r="L44" s="68"/>
      <c r="M44" s="88"/>
      <c r="N44" s="88"/>
      <c r="O44" s="88"/>
      <c r="P44" s="88"/>
      <c r="Q44" s="88"/>
      <c r="R44" s="88"/>
    </row>
    <row r="45" spans="1:18" ht="15.75" x14ac:dyDescent="0.25">
      <c r="A45" s="139">
        <v>16</v>
      </c>
      <c r="B45" s="8" t="s">
        <v>7</v>
      </c>
      <c r="C45" s="21" t="s">
        <v>91</v>
      </c>
      <c r="D45" s="8" t="s">
        <v>14</v>
      </c>
      <c r="E45" s="21" t="s">
        <v>31</v>
      </c>
      <c r="F45" s="139">
        <v>13</v>
      </c>
      <c r="G45" s="19">
        <f t="shared" si="6"/>
        <v>0.04</v>
      </c>
      <c r="H45" s="20">
        <f t="shared" si="7"/>
        <v>-3.2188758248682006</v>
      </c>
      <c r="I45" s="20">
        <f t="shared" si="8"/>
        <v>-0.12875503299472801</v>
      </c>
      <c r="J45" s="35">
        <f t="shared" si="9"/>
        <v>1.6000000000000001E-3</v>
      </c>
      <c r="L45" s="68"/>
      <c r="M45" s="88"/>
      <c r="N45" s="88"/>
      <c r="O45" s="88"/>
      <c r="P45" s="88"/>
      <c r="Q45" s="88"/>
      <c r="R45" s="88"/>
    </row>
    <row r="46" spans="1:18" ht="15.75" x14ac:dyDescent="0.25">
      <c r="A46" s="139">
        <v>17</v>
      </c>
      <c r="B46" s="8" t="s">
        <v>7</v>
      </c>
      <c r="C46" s="21" t="s">
        <v>91</v>
      </c>
      <c r="D46" s="8" t="s">
        <v>12</v>
      </c>
      <c r="E46" s="8" t="s">
        <v>171</v>
      </c>
      <c r="F46" s="139">
        <v>3</v>
      </c>
      <c r="G46" s="19">
        <f t="shared" si="6"/>
        <v>9.2307692307692316E-3</v>
      </c>
      <c r="H46" s="20">
        <f t="shared" si="7"/>
        <v>-4.6852128936616273</v>
      </c>
      <c r="I46" s="20">
        <f t="shared" si="8"/>
        <v>-4.3248119018415028E-2</v>
      </c>
      <c r="J46" s="35">
        <f t="shared" si="9"/>
        <v>8.5207100591715986E-5</v>
      </c>
      <c r="L46" s="68"/>
      <c r="M46" s="88"/>
      <c r="N46" s="88"/>
      <c r="O46" s="88"/>
      <c r="P46" s="88"/>
      <c r="Q46" s="88"/>
      <c r="R46" s="88"/>
    </row>
    <row r="47" spans="1:18" ht="15.75" x14ac:dyDescent="0.25">
      <c r="A47" s="139">
        <v>18</v>
      </c>
      <c r="B47" s="8" t="s">
        <v>7</v>
      </c>
      <c r="C47" s="21" t="s">
        <v>91</v>
      </c>
      <c r="D47" s="8" t="s">
        <v>12</v>
      </c>
      <c r="E47" s="8" t="s">
        <v>172</v>
      </c>
      <c r="F47" s="139">
        <v>34</v>
      </c>
      <c r="G47" s="19">
        <f t="shared" si="6"/>
        <v>0.10461538461538461</v>
      </c>
      <c r="H47" s="20">
        <f t="shared" si="7"/>
        <v>-2.2574646577135762</v>
      </c>
      <c r="I47" s="20">
        <f t="shared" si="8"/>
        <v>-0.23616553342234334</v>
      </c>
      <c r="J47" s="35">
        <f t="shared" si="9"/>
        <v>1.0944378698224851E-2</v>
      </c>
      <c r="L47" s="68"/>
      <c r="M47" s="88"/>
      <c r="N47" s="88"/>
      <c r="O47" s="88"/>
      <c r="P47" s="88"/>
      <c r="Q47" s="88"/>
      <c r="R47" s="88"/>
    </row>
    <row r="48" spans="1:18" ht="15.75" x14ac:dyDescent="0.25">
      <c r="A48" s="139">
        <v>19</v>
      </c>
      <c r="B48" s="8" t="s">
        <v>7</v>
      </c>
      <c r="C48" s="21" t="s">
        <v>91</v>
      </c>
      <c r="D48" s="8" t="s">
        <v>36</v>
      </c>
      <c r="E48" s="21" t="s">
        <v>67</v>
      </c>
      <c r="F48" s="139">
        <v>4</v>
      </c>
      <c r="G48" s="19">
        <f t="shared" si="6"/>
        <v>1.2307692307692308E-2</v>
      </c>
      <c r="H48" s="20">
        <f t="shared" si="7"/>
        <v>-4.3975308212098465</v>
      </c>
      <c r="I48" s="20">
        <f t="shared" si="8"/>
        <v>-5.4123456261044263E-2</v>
      </c>
      <c r="J48" s="35">
        <f t="shared" si="9"/>
        <v>1.5147928994082839E-4</v>
      </c>
      <c r="L48" s="68"/>
      <c r="M48" s="88"/>
      <c r="N48" s="88"/>
      <c r="O48" s="88"/>
      <c r="P48" s="88"/>
      <c r="Q48" s="88"/>
      <c r="R48" s="88"/>
    </row>
    <row r="49" spans="1:18" ht="15.75" x14ac:dyDescent="0.25">
      <c r="A49" s="139">
        <v>20</v>
      </c>
      <c r="B49" s="21" t="s">
        <v>28</v>
      </c>
      <c r="C49" s="8" t="s">
        <v>92</v>
      </c>
      <c r="D49" s="8" t="s">
        <v>59</v>
      </c>
      <c r="E49" s="8" t="s">
        <v>67</v>
      </c>
      <c r="F49" s="139">
        <v>1</v>
      </c>
      <c r="G49" s="19">
        <f t="shared" si="6"/>
        <v>3.0769230769230769E-3</v>
      </c>
      <c r="H49" s="20">
        <f t="shared" si="7"/>
        <v>-5.7838251823297373</v>
      </c>
      <c r="I49" s="20">
        <f t="shared" si="8"/>
        <v>-1.7796385176399192E-2</v>
      </c>
      <c r="J49" s="35">
        <f t="shared" si="9"/>
        <v>9.4674556213017744E-6</v>
      </c>
      <c r="L49" s="68"/>
      <c r="M49" s="88"/>
      <c r="N49" s="88"/>
      <c r="O49" s="88"/>
      <c r="P49" s="88"/>
      <c r="Q49" s="88"/>
      <c r="R49" s="88"/>
    </row>
    <row r="50" spans="1:18" ht="15.75" x14ac:dyDescent="0.25">
      <c r="A50" s="139">
        <v>21</v>
      </c>
      <c r="B50" s="8" t="s">
        <v>7</v>
      </c>
      <c r="C50" s="8" t="s">
        <v>94</v>
      </c>
      <c r="D50" s="8" t="s">
        <v>57</v>
      </c>
      <c r="E50" s="8" t="s">
        <v>174</v>
      </c>
      <c r="F50" s="139">
        <v>3</v>
      </c>
      <c r="G50" s="19">
        <f t="shared" si="6"/>
        <v>9.2307692307692316E-3</v>
      </c>
      <c r="H50" s="20">
        <f t="shared" si="7"/>
        <v>-4.6852128936616273</v>
      </c>
      <c r="I50" s="20">
        <f t="shared" si="8"/>
        <v>-4.3248119018415028E-2</v>
      </c>
      <c r="J50" s="35">
        <f t="shared" si="9"/>
        <v>8.5207100591715986E-5</v>
      </c>
      <c r="L50" s="68"/>
      <c r="M50" s="88"/>
      <c r="N50" s="88"/>
      <c r="O50" s="88"/>
      <c r="P50" s="88"/>
      <c r="Q50" s="88"/>
      <c r="R50" s="88"/>
    </row>
    <row r="51" spans="1:18" ht="15.75" x14ac:dyDescent="0.25">
      <c r="A51" s="139">
        <v>22</v>
      </c>
      <c r="B51" s="21" t="s">
        <v>28</v>
      </c>
      <c r="C51" s="8" t="s">
        <v>95</v>
      </c>
      <c r="D51" s="8" t="s">
        <v>25</v>
      </c>
      <c r="E51" s="8" t="s">
        <v>175</v>
      </c>
      <c r="F51" s="139">
        <v>4</v>
      </c>
      <c r="G51" s="19">
        <f t="shared" si="6"/>
        <v>1.2307692307692308E-2</v>
      </c>
      <c r="H51" s="20">
        <f t="shared" si="7"/>
        <v>-4.3975308212098465</v>
      </c>
      <c r="I51" s="20">
        <f t="shared" si="8"/>
        <v>-5.4123456261044263E-2</v>
      </c>
      <c r="J51" s="35">
        <f t="shared" si="9"/>
        <v>1.5147928994082839E-4</v>
      </c>
      <c r="L51" s="68"/>
      <c r="M51" s="88"/>
      <c r="N51" s="88"/>
      <c r="O51" s="88"/>
      <c r="P51" s="88"/>
      <c r="Q51" s="88"/>
      <c r="R51" s="88"/>
    </row>
    <row r="52" spans="1:18" ht="15.75" x14ac:dyDescent="0.25">
      <c r="A52" s="150">
        <v>23</v>
      </c>
      <c r="B52" s="8" t="s">
        <v>7</v>
      </c>
      <c r="C52" s="8" t="s">
        <v>93</v>
      </c>
      <c r="D52" s="8" t="s">
        <v>11</v>
      </c>
      <c r="E52" s="8" t="s">
        <v>67</v>
      </c>
      <c r="F52" s="139">
        <v>28</v>
      </c>
      <c r="G52" s="19">
        <f t="shared" si="6"/>
        <v>8.615384615384615E-2</v>
      </c>
      <c r="H52" s="20">
        <f t="shared" si="7"/>
        <v>-2.4516206721545335</v>
      </c>
      <c r="I52" s="20">
        <f t="shared" si="8"/>
        <v>-0.21121655021639058</v>
      </c>
      <c r="J52" s="35">
        <f t="shared" si="9"/>
        <v>7.4224852071005914E-3</v>
      </c>
      <c r="L52" s="69"/>
      <c r="M52" s="88"/>
      <c r="N52" s="88"/>
      <c r="O52" s="88"/>
      <c r="P52" s="88"/>
      <c r="Q52" s="88"/>
      <c r="R52" s="88"/>
    </row>
    <row r="53" spans="1:18" ht="15.75" x14ac:dyDescent="0.25">
      <c r="A53" s="169" t="s">
        <v>82</v>
      </c>
      <c r="B53" s="165"/>
      <c r="C53" s="165"/>
      <c r="D53" s="165"/>
      <c r="E53" s="165"/>
      <c r="F53" s="138">
        <f>SUM(F30:F52)</f>
        <v>325</v>
      </c>
      <c r="G53" s="47"/>
      <c r="H53" s="47"/>
      <c r="I53" s="90">
        <f>SUM(I30:I52)</f>
        <v>-2.259097471901514</v>
      </c>
      <c r="J53" s="62">
        <f>SUM(J30:J52)</f>
        <v>0.15735857988165677</v>
      </c>
      <c r="L53" s="69"/>
      <c r="M53" s="88"/>
      <c r="N53" s="88"/>
      <c r="O53" s="88"/>
      <c r="P53" s="88"/>
      <c r="Q53" s="88"/>
      <c r="R53" s="88"/>
    </row>
    <row r="54" spans="1:18" ht="15.75" x14ac:dyDescent="0.25">
      <c r="A54" s="166" t="s">
        <v>83</v>
      </c>
      <c r="B54" s="166"/>
      <c r="C54" s="166"/>
      <c r="D54" s="166"/>
      <c r="E54" s="166"/>
      <c r="F54" s="38"/>
      <c r="G54" s="39"/>
      <c r="H54" s="39"/>
      <c r="I54" s="40">
        <f>-(I53)</f>
        <v>2.259097471901514</v>
      </c>
      <c r="J54" s="39"/>
      <c r="L54" s="68"/>
      <c r="M54" s="88"/>
      <c r="N54" s="88"/>
      <c r="O54" s="88"/>
      <c r="P54" s="88"/>
      <c r="Q54" s="88"/>
      <c r="R54" s="88"/>
    </row>
    <row r="55" spans="1:18" ht="15.75" x14ac:dyDescent="0.25">
      <c r="A55" s="167" t="s">
        <v>84</v>
      </c>
      <c r="B55" s="167"/>
      <c r="C55" s="167"/>
      <c r="D55" s="167"/>
      <c r="E55" s="167"/>
      <c r="F55" s="41"/>
      <c r="G55" s="42"/>
      <c r="H55" s="42"/>
      <c r="I55" s="43">
        <f>I54/LN(23)</f>
        <v>0.72049167254868285</v>
      </c>
      <c r="J55" s="42"/>
      <c r="L55" s="70"/>
      <c r="M55" s="88"/>
      <c r="N55" s="88"/>
      <c r="O55" s="88"/>
      <c r="P55" s="88"/>
      <c r="Q55" s="88"/>
      <c r="R55" s="88"/>
    </row>
    <row r="56" spans="1:18" ht="15.75" x14ac:dyDescent="0.25">
      <c r="A56" s="168" t="s">
        <v>85</v>
      </c>
      <c r="B56" s="168"/>
      <c r="C56" s="168"/>
      <c r="D56" s="168"/>
      <c r="E56" s="168"/>
      <c r="F56" s="44"/>
      <c r="G56" s="45"/>
      <c r="H56" s="45"/>
      <c r="I56" s="46">
        <f>J53</f>
        <v>0.15735857988165677</v>
      </c>
      <c r="J56" s="45"/>
      <c r="L56" s="69"/>
      <c r="M56" s="88"/>
      <c r="N56" s="88"/>
      <c r="O56" s="88"/>
      <c r="P56" s="88"/>
      <c r="Q56" s="88"/>
      <c r="R56" s="88"/>
    </row>
    <row r="57" spans="1:18" x14ac:dyDescent="0.25">
      <c r="A57" t="s">
        <v>142</v>
      </c>
      <c r="L57" s="69"/>
      <c r="M57" s="88"/>
      <c r="N57" s="88"/>
      <c r="O57" s="88"/>
      <c r="P57" s="88"/>
      <c r="Q57" s="88"/>
      <c r="R57" s="88"/>
    </row>
    <row r="58" spans="1:18" ht="15.75" x14ac:dyDescent="0.25">
      <c r="A58" s="25" t="s">
        <v>98</v>
      </c>
      <c r="B58" s="22" t="s">
        <v>6</v>
      </c>
      <c r="C58" s="22" t="s">
        <v>88</v>
      </c>
      <c r="D58" s="22" t="s">
        <v>3</v>
      </c>
      <c r="E58" s="22" t="s">
        <v>65</v>
      </c>
      <c r="F58" s="25" t="s">
        <v>99</v>
      </c>
      <c r="G58" s="25" t="s">
        <v>79</v>
      </c>
      <c r="H58" s="25" t="s">
        <v>81</v>
      </c>
      <c r="I58" s="25" t="s">
        <v>80</v>
      </c>
      <c r="J58" s="65" t="s">
        <v>100</v>
      </c>
      <c r="L58" s="69"/>
      <c r="M58" s="88"/>
      <c r="N58" s="88"/>
      <c r="O58" s="88"/>
      <c r="P58" s="88"/>
      <c r="Q58" s="88"/>
      <c r="R58" s="88"/>
    </row>
    <row r="59" spans="1:18" ht="15.75" x14ac:dyDescent="0.25">
      <c r="A59" s="8">
        <v>1</v>
      </c>
      <c r="B59" s="49" t="s">
        <v>158</v>
      </c>
      <c r="C59" s="49" t="s">
        <v>89</v>
      </c>
      <c r="D59" s="49" t="s">
        <v>21</v>
      </c>
      <c r="E59" s="49" t="s">
        <v>177</v>
      </c>
      <c r="F59" s="8">
        <v>3</v>
      </c>
      <c r="G59" s="20">
        <f t="shared" ref="G59:G74" si="10">F59/200</f>
        <v>1.4999999999999999E-2</v>
      </c>
      <c r="H59" s="20">
        <f t="shared" ref="H59:H74" si="11">LN(G59)</f>
        <v>-4.1997050778799272</v>
      </c>
      <c r="I59" s="20">
        <f t="shared" ref="I59:I74" si="12">G59*H59</f>
        <v>-6.2995576168198911E-2</v>
      </c>
      <c r="J59" s="19">
        <f t="shared" ref="J59:J74" si="13">G59^2</f>
        <v>2.2499999999999999E-4</v>
      </c>
      <c r="L59" s="69"/>
    </row>
    <row r="60" spans="1:18" ht="15.75" x14ac:dyDescent="0.25">
      <c r="A60" s="8">
        <v>2</v>
      </c>
      <c r="B60" s="52" t="s">
        <v>28</v>
      </c>
      <c r="C60" s="52" t="s">
        <v>89</v>
      </c>
      <c r="D60" s="52" t="s">
        <v>26</v>
      </c>
      <c r="E60" s="49" t="s">
        <v>67</v>
      </c>
      <c r="F60" s="8">
        <v>13</v>
      </c>
      <c r="G60" s="20">
        <f t="shared" si="10"/>
        <v>6.5000000000000002E-2</v>
      </c>
      <c r="H60" s="20">
        <f t="shared" si="11"/>
        <v>-2.7333680090865</v>
      </c>
      <c r="I60" s="20">
        <f t="shared" si="12"/>
        <v>-0.1776689205906225</v>
      </c>
      <c r="J60" s="19">
        <f t="shared" si="13"/>
        <v>4.2250000000000005E-3</v>
      </c>
      <c r="L60" s="68"/>
    </row>
    <row r="61" spans="1:18" ht="15.75" x14ac:dyDescent="0.25">
      <c r="A61" s="8">
        <v>3</v>
      </c>
      <c r="B61" s="49" t="s">
        <v>19</v>
      </c>
      <c r="C61" s="49" t="s">
        <v>89</v>
      </c>
      <c r="D61" s="49" t="s">
        <v>29</v>
      </c>
      <c r="E61" s="52" t="s">
        <v>67</v>
      </c>
      <c r="F61" s="8">
        <v>7</v>
      </c>
      <c r="G61" s="20">
        <f t="shared" si="10"/>
        <v>3.5000000000000003E-2</v>
      </c>
      <c r="H61" s="20">
        <f t="shared" si="11"/>
        <v>-3.3524072174927233</v>
      </c>
      <c r="I61" s="20">
        <f t="shared" si="12"/>
        <v>-0.11733425261224532</v>
      </c>
      <c r="J61" s="19">
        <f t="shared" si="13"/>
        <v>1.2250000000000002E-3</v>
      </c>
      <c r="L61" s="69"/>
    </row>
    <row r="62" spans="1:18" ht="15.75" x14ac:dyDescent="0.25">
      <c r="A62" s="8">
        <v>4</v>
      </c>
      <c r="B62" s="52" t="s">
        <v>7</v>
      </c>
      <c r="C62" s="52" t="s">
        <v>91</v>
      </c>
      <c r="D62" s="52" t="s">
        <v>20</v>
      </c>
      <c r="E62" s="49" t="s">
        <v>9</v>
      </c>
      <c r="F62" s="8">
        <v>31</v>
      </c>
      <c r="G62" s="20">
        <f t="shared" si="10"/>
        <v>0.155</v>
      </c>
      <c r="H62" s="20">
        <f t="shared" si="11"/>
        <v>-1.8643301620628905</v>
      </c>
      <c r="I62" s="20">
        <f t="shared" si="12"/>
        <v>-0.28897117511974801</v>
      </c>
      <c r="J62" s="19">
        <f t="shared" si="13"/>
        <v>2.4025000000000001E-2</v>
      </c>
      <c r="L62" s="69"/>
    </row>
    <row r="63" spans="1:18" ht="15.75" x14ac:dyDescent="0.25">
      <c r="A63" s="8">
        <v>5</v>
      </c>
      <c r="B63" s="49" t="s">
        <v>7</v>
      </c>
      <c r="C63" s="49" t="s">
        <v>91</v>
      </c>
      <c r="D63" s="52" t="s">
        <v>8</v>
      </c>
      <c r="E63" s="52" t="s">
        <v>37</v>
      </c>
      <c r="F63" s="8">
        <v>29</v>
      </c>
      <c r="G63" s="20">
        <f t="shared" si="10"/>
        <v>0.14499999999999999</v>
      </c>
      <c r="H63" s="20">
        <f t="shared" si="11"/>
        <v>-1.9310215365615626</v>
      </c>
      <c r="I63" s="20">
        <f t="shared" si="12"/>
        <v>-0.27999812280142655</v>
      </c>
      <c r="J63" s="19">
        <f t="shared" si="13"/>
        <v>2.1024999999999999E-2</v>
      </c>
    </row>
    <row r="64" spans="1:18" ht="15.75" x14ac:dyDescent="0.25">
      <c r="A64" s="8">
        <v>6</v>
      </c>
      <c r="B64" s="49" t="s">
        <v>7</v>
      </c>
      <c r="C64" s="49" t="s">
        <v>91</v>
      </c>
      <c r="D64" s="52" t="s">
        <v>8</v>
      </c>
      <c r="E64" s="52" t="s">
        <v>18</v>
      </c>
      <c r="F64" s="8">
        <v>19</v>
      </c>
      <c r="G64" s="20">
        <f t="shared" si="10"/>
        <v>9.5000000000000001E-2</v>
      </c>
      <c r="H64" s="20">
        <f t="shared" si="11"/>
        <v>-2.353878387381596</v>
      </c>
      <c r="I64" s="20">
        <f t="shared" si="12"/>
        <v>-0.22361844680125162</v>
      </c>
      <c r="J64" s="19">
        <f t="shared" si="13"/>
        <v>9.025E-3</v>
      </c>
    </row>
    <row r="65" spans="1:10" ht="15.75" x14ac:dyDescent="0.25">
      <c r="A65" s="8">
        <v>7</v>
      </c>
      <c r="B65" s="52" t="s">
        <v>7</v>
      </c>
      <c r="C65" s="52" t="s">
        <v>91</v>
      </c>
      <c r="D65" s="52" t="s">
        <v>8</v>
      </c>
      <c r="E65" s="52" t="s">
        <v>30</v>
      </c>
      <c r="F65" s="8">
        <v>7</v>
      </c>
      <c r="G65" s="20">
        <f t="shared" si="10"/>
        <v>3.5000000000000003E-2</v>
      </c>
      <c r="H65" s="20">
        <f t="shared" si="11"/>
        <v>-3.3524072174927233</v>
      </c>
      <c r="I65" s="20">
        <f t="shared" si="12"/>
        <v>-0.11733425261224532</v>
      </c>
      <c r="J65" s="19">
        <f t="shared" si="13"/>
        <v>1.2250000000000002E-3</v>
      </c>
    </row>
    <row r="66" spans="1:10" ht="15.75" x14ac:dyDescent="0.25">
      <c r="A66" s="8">
        <v>8</v>
      </c>
      <c r="B66" s="52" t="s">
        <v>7</v>
      </c>
      <c r="C66" s="49" t="s">
        <v>91</v>
      </c>
      <c r="D66" s="52" t="s">
        <v>8</v>
      </c>
      <c r="E66" s="49" t="s">
        <v>9</v>
      </c>
      <c r="F66" s="8">
        <v>11</v>
      </c>
      <c r="G66" s="20">
        <f t="shared" si="10"/>
        <v>5.5E-2</v>
      </c>
      <c r="H66" s="20">
        <f t="shared" si="11"/>
        <v>-2.9004220937496661</v>
      </c>
      <c r="I66" s="20">
        <f t="shared" si="12"/>
        <v>-0.15952321515623163</v>
      </c>
      <c r="J66" s="19">
        <f t="shared" si="13"/>
        <v>3.0249999999999999E-3</v>
      </c>
    </row>
    <row r="67" spans="1:10" ht="15.75" x14ac:dyDescent="0.25">
      <c r="A67" s="8">
        <v>9</v>
      </c>
      <c r="B67" s="52" t="s">
        <v>7</v>
      </c>
      <c r="C67" s="49" t="s">
        <v>91</v>
      </c>
      <c r="D67" s="52" t="s">
        <v>8</v>
      </c>
      <c r="E67" s="49" t="s">
        <v>16</v>
      </c>
      <c r="F67" s="8">
        <v>19</v>
      </c>
      <c r="G67" s="20">
        <f t="shared" si="10"/>
        <v>9.5000000000000001E-2</v>
      </c>
      <c r="H67" s="20">
        <f t="shared" si="11"/>
        <v>-2.353878387381596</v>
      </c>
      <c r="I67" s="20">
        <f t="shared" si="12"/>
        <v>-0.22361844680125162</v>
      </c>
      <c r="J67" s="19">
        <f t="shared" si="13"/>
        <v>9.025E-3</v>
      </c>
    </row>
    <row r="68" spans="1:10" ht="15.75" x14ac:dyDescent="0.25">
      <c r="A68" s="8">
        <v>10</v>
      </c>
      <c r="B68" s="52" t="s">
        <v>7</v>
      </c>
      <c r="C68" s="49" t="s">
        <v>91</v>
      </c>
      <c r="D68" s="55" t="s">
        <v>27</v>
      </c>
      <c r="E68" s="55" t="s">
        <v>55</v>
      </c>
      <c r="F68" s="8">
        <v>2</v>
      </c>
      <c r="G68" s="20">
        <f t="shared" si="10"/>
        <v>0.01</v>
      </c>
      <c r="H68" s="20">
        <f t="shared" si="11"/>
        <v>-4.6051701859880909</v>
      </c>
      <c r="I68" s="20">
        <f t="shared" si="12"/>
        <v>-4.605170185988091E-2</v>
      </c>
      <c r="J68" s="19">
        <f t="shared" si="13"/>
        <v>1E-4</v>
      </c>
    </row>
    <row r="69" spans="1:10" ht="15.75" x14ac:dyDescent="0.25">
      <c r="A69" s="8">
        <v>11</v>
      </c>
      <c r="B69" s="52" t="s">
        <v>7</v>
      </c>
      <c r="C69" s="49" t="s">
        <v>91</v>
      </c>
      <c r="D69" s="52" t="s">
        <v>12</v>
      </c>
      <c r="E69" s="52" t="s">
        <v>13</v>
      </c>
      <c r="F69" s="8">
        <v>16</v>
      </c>
      <c r="G69" s="20">
        <f t="shared" si="10"/>
        <v>0.08</v>
      </c>
      <c r="H69" s="20">
        <f t="shared" si="11"/>
        <v>-2.5257286443082556</v>
      </c>
      <c r="I69" s="20">
        <f t="shared" si="12"/>
        <v>-0.20205829154466046</v>
      </c>
      <c r="J69" s="19">
        <f t="shared" si="13"/>
        <v>6.4000000000000003E-3</v>
      </c>
    </row>
    <row r="70" spans="1:10" ht="15.75" x14ac:dyDescent="0.25">
      <c r="A70" s="8">
        <v>12</v>
      </c>
      <c r="B70" s="52" t="s">
        <v>7</v>
      </c>
      <c r="C70" s="52" t="s">
        <v>94</v>
      </c>
      <c r="D70" s="55" t="s">
        <v>57</v>
      </c>
      <c r="E70" s="55" t="s">
        <v>58</v>
      </c>
      <c r="F70" s="8">
        <v>4</v>
      </c>
      <c r="G70" s="20">
        <f t="shared" si="10"/>
        <v>0.02</v>
      </c>
      <c r="H70" s="20">
        <f t="shared" si="11"/>
        <v>-3.912023005428146</v>
      </c>
      <c r="I70" s="20">
        <f t="shared" si="12"/>
        <v>-7.824046010856292E-2</v>
      </c>
      <c r="J70" s="19">
        <f t="shared" si="13"/>
        <v>4.0000000000000002E-4</v>
      </c>
    </row>
    <row r="71" spans="1:10" ht="15.75" x14ac:dyDescent="0.25">
      <c r="A71" s="8">
        <v>13</v>
      </c>
      <c r="B71" s="49" t="s">
        <v>28</v>
      </c>
      <c r="C71" s="52" t="s">
        <v>95</v>
      </c>
      <c r="D71" s="52" t="s">
        <v>25</v>
      </c>
      <c r="E71" s="52" t="s">
        <v>69</v>
      </c>
      <c r="F71" s="8">
        <v>5</v>
      </c>
      <c r="G71" s="20">
        <f t="shared" si="10"/>
        <v>2.5000000000000001E-2</v>
      </c>
      <c r="H71" s="20">
        <f t="shared" si="11"/>
        <v>-3.6888794541139363</v>
      </c>
      <c r="I71" s="20">
        <f t="shared" si="12"/>
        <v>-9.2221986352848409E-2</v>
      </c>
      <c r="J71" s="19">
        <f t="shared" si="13"/>
        <v>6.2500000000000012E-4</v>
      </c>
    </row>
    <row r="72" spans="1:10" ht="15.75" x14ac:dyDescent="0.25">
      <c r="A72" s="8">
        <v>14</v>
      </c>
      <c r="B72" s="49" t="s">
        <v>7</v>
      </c>
      <c r="C72" s="52" t="s">
        <v>93</v>
      </c>
      <c r="D72" s="52" t="s">
        <v>11</v>
      </c>
      <c r="E72" s="52" t="s">
        <v>60</v>
      </c>
      <c r="F72" s="8">
        <v>12</v>
      </c>
      <c r="G72" s="20">
        <f t="shared" si="10"/>
        <v>0.06</v>
      </c>
      <c r="H72" s="20">
        <f t="shared" si="11"/>
        <v>-2.8134107167600364</v>
      </c>
      <c r="I72" s="20">
        <f t="shared" si="12"/>
        <v>-0.16880464300560219</v>
      </c>
      <c r="J72" s="19">
        <f t="shared" si="13"/>
        <v>3.5999999999999999E-3</v>
      </c>
    </row>
    <row r="73" spans="1:10" ht="15.75" x14ac:dyDescent="0.25">
      <c r="A73" s="8">
        <v>15</v>
      </c>
      <c r="B73" s="49" t="s">
        <v>7</v>
      </c>
      <c r="C73" s="52" t="s">
        <v>93</v>
      </c>
      <c r="D73" s="52" t="s">
        <v>11</v>
      </c>
      <c r="E73" s="52" t="s">
        <v>67</v>
      </c>
      <c r="F73" s="8">
        <v>9</v>
      </c>
      <c r="G73" s="20">
        <f t="shared" si="10"/>
        <v>4.4999999999999998E-2</v>
      </c>
      <c r="H73" s="20">
        <f t="shared" si="11"/>
        <v>-3.1010927892118172</v>
      </c>
      <c r="I73" s="20">
        <f t="shared" si="12"/>
        <v>-0.13954917551453178</v>
      </c>
      <c r="J73" s="19">
        <f t="shared" si="13"/>
        <v>2.0249999999999999E-3</v>
      </c>
    </row>
    <row r="74" spans="1:10" ht="15.75" x14ac:dyDescent="0.25">
      <c r="A74" s="8">
        <v>16</v>
      </c>
      <c r="B74" s="148" t="s">
        <v>19</v>
      </c>
      <c r="C74" s="8" t="s">
        <v>164</v>
      </c>
      <c r="D74" s="8" t="s">
        <v>163</v>
      </c>
      <c r="E74" s="8" t="s">
        <v>67</v>
      </c>
      <c r="F74" s="8">
        <v>13</v>
      </c>
      <c r="G74" s="20">
        <f t="shared" si="10"/>
        <v>6.5000000000000002E-2</v>
      </c>
      <c r="H74" s="20">
        <f t="shared" si="11"/>
        <v>-2.7333680090865</v>
      </c>
      <c r="I74" s="20">
        <f t="shared" si="12"/>
        <v>-0.1776689205906225</v>
      </c>
      <c r="J74" s="19">
        <f t="shared" si="13"/>
        <v>4.2250000000000005E-3</v>
      </c>
    </row>
    <row r="75" spans="1:10" ht="15.75" x14ac:dyDescent="0.25">
      <c r="A75" s="165" t="s">
        <v>82</v>
      </c>
      <c r="B75" s="165"/>
      <c r="C75" s="165"/>
      <c r="D75" s="165"/>
      <c r="E75" s="165"/>
      <c r="F75" s="47">
        <f>SUM(F59:F74)</f>
        <v>200</v>
      </c>
      <c r="G75" s="47"/>
      <c r="H75" s="47"/>
      <c r="I75" s="63">
        <f>SUM(I59:I73)</f>
        <v>-2.3779886670493084</v>
      </c>
      <c r="J75" s="62">
        <f>SUM(J59:J73)</f>
        <v>8.6175000000000015E-2</v>
      </c>
    </row>
    <row r="76" spans="1:10" ht="15.75" x14ac:dyDescent="0.25">
      <c r="A76" s="166" t="s">
        <v>83</v>
      </c>
      <c r="B76" s="166"/>
      <c r="C76" s="166"/>
      <c r="D76" s="166"/>
      <c r="E76" s="166"/>
      <c r="F76" s="38"/>
      <c r="G76" s="39"/>
      <c r="H76" s="39"/>
      <c r="I76" s="40">
        <f>-(I75)</f>
        <v>2.3779886670493084</v>
      </c>
      <c r="J76" s="39"/>
    </row>
    <row r="77" spans="1:10" ht="15.75" x14ac:dyDescent="0.25">
      <c r="A77" s="167" t="s">
        <v>84</v>
      </c>
      <c r="B77" s="167"/>
      <c r="C77" s="167"/>
      <c r="D77" s="167"/>
      <c r="E77" s="167"/>
      <c r="F77" s="41"/>
      <c r="G77" s="42"/>
      <c r="H77" s="42"/>
      <c r="I77" s="43">
        <f>I76/LN(16)</f>
        <v>0.85767811431054841</v>
      </c>
      <c r="J77" s="42"/>
    </row>
    <row r="78" spans="1:10" ht="15.75" x14ac:dyDescent="0.25">
      <c r="A78" s="168" t="s">
        <v>85</v>
      </c>
      <c r="B78" s="168"/>
      <c r="C78" s="168"/>
      <c r="D78" s="168"/>
      <c r="E78" s="168"/>
      <c r="F78" s="44"/>
      <c r="G78" s="45"/>
      <c r="H78" s="45"/>
      <c r="I78" s="46">
        <f>J75</f>
        <v>8.6175000000000015E-2</v>
      </c>
      <c r="J78" s="45"/>
    </row>
    <row r="80" spans="1:10" x14ac:dyDescent="0.25">
      <c r="A80" t="s">
        <v>143</v>
      </c>
    </row>
    <row r="81" spans="1:10" ht="15.75" x14ac:dyDescent="0.25">
      <c r="A81" s="60" t="s">
        <v>98</v>
      </c>
      <c r="B81" s="37" t="s">
        <v>6</v>
      </c>
      <c r="C81" s="37" t="s">
        <v>88</v>
      </c>
      <c r="D81" s="37" t="s">
        <v>3</v>
      </c>
      <c r="E81" s="37" t="s">
        <v>65</v>
      </c>
      <c r="F81" s="36" t="s">
        <v>99</v>
      </c>
      <c r="G81" s="36" t="s">
        <v>79</v>
      </c>
      <c r="H81" s="36" t="s">
        <v>81</v>
      </c>
      <c r="I81" s="36" t="s">
        <v>80</v>
      </c>
      <c r="J81" s="60" t="s">
        <v>100</v>
      </c>
    </row>
    <row r="82" spans="1:10" ht="15.75" x14ac:dyDescent="0.25">
      <c r="A82" s="138">
        <v>1</v>
      </c>
      <c r="B82" s="59" t="s">
        <v>158</v>
      </c>
      <c r="C82" s="59" t="s">
        <v>89</v>
      </c>
      <c r="D82" s="59" t="s">
        <v>21</v>
      </c>
      <c r="E82" s="59" t="s">
        <v>177</v>
      </c>
      <c r="F82" s="47">
        <v>2</v>
      </c>
      <c r="G82" s="62">
        <f>F82/102</f>
        <v>1.9607843137254902E-2</v>
      </c>
      <c r="H82" s="63">
        <f>LN(G82)</f>
        <v>-3.9318256327243257</v>
      </c>
      <c r="I82" s="63">
        <f>G82*H82</f>
        <v>-7.7094620249496579E-2</v>
      </c>
      <c r="J82" s="64">
        <f>G82^2</f>
        <v>3.8446751249519417E-4</v>
      </c>
    </row>
    <row r="83" spans="1:10" ht="15.75" x14ac:dyDescent="0.25">
      <c r="A83" s="139">
        <v>2</v>
      </c>
      <c r="B83" s="21" t="s">
        <v>7</v>
      </c>
      <c r="C83" s="21" t="s">
        <v>91</v>
      </c>
      <c r="D83" s="8" t="s">
        <v>20</v>
      </c>
      <c r="E83" s="21" t="s">
        <v>9</v>
      </c>
      <c r="F83" s="8">
        <v>4</v>
      </c>
      <c r="G83" s="19">
        <f t="shared" ref="G83:G95" si="14">F83/102</f>
        <v>3.9215686274509803E-2</v>
      </c>
      <c r="H83" s="20">
        <f t="shared" ref="H83:H95" si="15">LN(G83)</f>
        <v>-3.2386784521643803</v>
      </c>
      <c r="I83" s="20">
        <f t="shared" ref="I83:I95" si="16">G83*H83</f>
        <v>-0.12700699812409336</v>
      </c>
      <c r="J83" s="34">
        <f t="shared" ref="J83:J95" si="17">G83^2</f>
        <v>1.5378700499807767E-3</v>
      </c>
    </row>
    <row r="84" spans="1:10" ht="15.75" x14ac:dyDescent="0.25">
      <c r="A84" s="139">
        <v>3</v>
      </c>
      <c r="B84" s="21" t="s">
        <v>7</v>
      </c>
      <c r="C84" s="21" t="s">
        <v>91</v>
      </c>
      <c r="D84" s="8" t="s">
        <v>8</v>
      </c>
      <c r="E84" s="8" t="s">
        <v>167</v>
      </c>
      <c r="F84" s="8">
        <v>16</v>
      </c>
      <c r="G84" s="19">
        <f t="shared" si="14"/>
        <v>0.15686274509803921</v>
      </c>
      <c r="H84" s="20">
        <f t="shared" si="15"/>
        <v>-1.8523840910444898</v>
      </c>
      <c r="I84" s="20">
        <f t="shared" si="16"/>
        <v>-0.29057005349717485</v>
      </c>
      <c r="J84" s="34">
        <f t="shared" si="17"/>
        <v>2.4605920799692427E-2</v>
      </c>
    </row>
    <row r="85" spans="1:10" ht="15.75" x14ac:dyDescent="0.25">
      <c r="A85" s="139">
        <v>4</v>
      </c>
      <c r="B85" s="21" t="s">
        <v>7</v>
      </c>
      <c r="C85" s="21" t="s">
        <v>91</v>
      </c>
      <c r="D85" s="8" t="s">
        <v>8</v>
      </c>
      <c r="E85" s="8" t="s">
        <v>169</v>
      </c>
      <c r="F85" s="8">
        <v>13</v>
      </c>
      <c r="G85" s="19">
        <f t="shared" si="14"/>
        <v>0.12745098039215685</v>
      </c>
      <c r="H85" s="20">
        <f t="shared" si="15"/>
        <v>-2.0600234558227344</v>
      </c>
      <c r="I85" s="20">
        <f t="shared" si="16"/>
        <v>-0.26255200907544651</v>
      </c>
      <c r="J85" s="34">
        <f t="shared" si="17"/>
        <v>1.6243752402921949E-2</v>
      </c>
    </row>
    <row r="86" spans="1:10" ht="15.75" x14ac:dyDescent="0.25">
      <c r="A86" s="139">
        <v>5</v>
      </c>
      <c r="B86" s="7" t="s">
        <v>7</v>
      </c>
      <c r="C86" s="21" t="s">
        <v>91</v>
      </c>
      <c r="D86" s="8" t="s">
        <v>8</v>
      </c>
      <c r="E86" s="8" t="s">
        <v>170</v>
      </c>
      <c r="F86" s="8">
        <v>15</v>
      </c>
      <c r="G86" s="19">
        <f t="shared" si="14"/>
        <v>0.14705882352941177</v>
      </c>
      <c r="H86" s="20">
        <f t="shared" si="15"/>
        <v>-1.9169226121820611</v>
      </c>
      <c r="I86" s="20">
        <f t="shared" si="16"/>
        <v>-0.28190038414442076</v>
      </c>
      <c r="J86" s="34">
        <f t="shared" si="17"/>
        <v>2.1626297577854673E-2</v>
      </c>
    </row>
    <row r="87" spans="1:10" ht="15.75" x14ac:dyDescent="0.25">
      <c r="A87" s="139">
        <v>6</v>
      </c>
      <c r="B87" s="7" t="s">
        <v>7</v>
      </c>
      <c r="C87" s="21" t="s">
        <v>91</v>
      </c>
      <c r="D87" s="8" t="s">
        <v>8</v>
      </c>
      <c r="E87" s="21" t="s">
        <v>9</v>
      </c>
      <c r="F87" s="8">
        <v>17</v>
      </c>
      <c r="G87" s="19">
        <f t="shared" si="14"/>
        <v>0.16666666666666666</v>
      </c>
      <c r="H87" s="20">
        <f t="shared" si="15"/>
        <v>-1.791759469228055</v>
      </c>
      <c r="I87" s="20">
        <f t="shared" si="16"/>
        <v>-0.29862657820467581</v>
      </c>
      <c r="J87" s="34">
        <f t="shared" si="17"/>
        <v>2.7777777777777776E-2</v>
      </c>
    </row>
    <row r="88" spans="1:10" ht="15.75" x14ac:dyDescent="0.25">
      <c r="A88" s="139">
        <v>7</v>
      </c>
      <c r="B88" s="7" t="s">
        <v>7</v>
      </c>
      <c r="C88" s="21" t="s">
        <v>91</v>
      </c>
      <c r="D88" s="8" t="s">
        <v>8</v>
      </c>
      <c r="E88" s="21" t="s">
        <v>16</v>
      </c>
      <c r="F88" s="8">
        <v>4</v>
      </c>
      <c r="G88" s="19">
        <f t="shared" si="14"/>
        <v>3.9215686274509803E-2</v>
      </c>
      <c r="H88" s="20">
        <f t="shared" si="15"/>
        <v>-3.2386784521643803</v>
      </c>
      <c r="I88" s="20">
        <f t="shared" si="16"/>
        <v>-0.12700699812409336</v>
      </c>
      <c r="J88" s="34">
        <f t="shared" si="17"/>
        <v>1.5378700499807767E-3</v>
      </c>
    </row>
    <row r="89" spans="1:10" ht="15.75" x14ac:dyDescent="0.25">
      <c r="A89" s="139">
        <v>8</v>
      </c>
      <c r="B89" s="7" t="s">
        <v>7</v>
      </c>
      <c r="C89" s="21" t="s">
        <v>91</v>
      </c>
      <c r="D89" s="8" t="s">
        <v>8</v>
      </c>
      <c r="E89" s="8" t="s">
        <v>31</v>
      </c>
      <c r="F89" s="8">
        <v>4</v>
      </c>
      <c r="G89" s="19">
        <f t="shared" si="14"/>
        <v>3.9215686274509803E-2</v>
      </c>
      <c r="H89" s="20">
        <f t="shared" si="15"/>
        <v>-3.2386784521643803</v>
      </c>
      <c r="I89" s="20">
        <f t="shared" si="16"/>
        <v>-0.12700699812409336</v>
      </c>
      <c r="J89" s="34">
        <f t="shared" si="17"/>
        <v>1.5378700499807767E-3</v>
      </c>
    </row>
    <row r="90" spans="1:10" ht="15.75" x14ac:dyDescent="0.25">
      <c r="A90" s="139">
        <v>9</v>
      </c>
      <c r="B90" s="7" t="s">
        <v>7</v>
      </c>
      <c r="C90" s="21" t="s">
        <v>91</v>
      </c>
      <c r="D90" s="8" t="s">
        <v>14</v>
      </c>
      <c r="E90" s="8" t="s">
        <v>9</v>
      </c>
      <c r="F90" s="8">
        <v>1</v>
      </c>
      <c r="G90" s="19">
        <f t="shared" si="14"/>
        <v>9.8039215686274508E-3</v>
      </c>
      <c r="H90" s="20">
        <f t="shared" si="15"/>
        <v>-4.6249728132842707</v>
      </c>
      <c r="I90" s="20">
        <f t="shared" si="16"/>
        <v>-4.534287071847324E-2</v>
      </c>
      <c r="J90" s="34">
        <f t="shared" si="17"/>
        <v>9.6116878123798542E-5</v>
      </c>
    </row>
    <row r="91" spans="1:10" ht="15.75" x14ac:dyDescent="0.25">
      <c r="A91" s="139">
        <v>10</v>
      </c>
      <c r="B91" s="7" t="s">
        <v>7</v>
      </c>
      <c r="C91" s="21" t="s">
        <v>91</v>
      </c>
      <c r="D91" s="8" t="s">
        <v>14</v>
      </c>
      <c r="E91" s="8" t="s">
        <v>23</v>
      </c>
      <c r="F91" s="8">
        <v>4</v>
      </c>
      <c r="G91" s="19">
        <f t="shared" si="14"/>
        <v>3.9215686274509803E-2</v>
      </c>
      <c r="H91" s="20">
        <f t="shared" si="15"/>
        <v>-3.2386784521643803</v>
      </c>
      <c r="I91" s="20">
        <f t="shared" si="16"/>
        <v>-0.12700699812409336</v>
      </c>
      <c r="J91" s="34">
        <f t="shared" si="17"/>
        <v>1.5378700499807767E-3</v>
      </c>
    </row>
    <row r="92" spans="1:10" ht="15.75" x14ac:dyDescent="0.25">
      <c r="A92" s="139">
        <v>11</v>
      </c>
      <c r="B92" s="7" t="s">
        <v>7</v>
      </c>
      <c r="C92" s="21" t="s">
        <v>91</v>
      </c>
      <c r="D92" s="7" t="s">
        <v>12</v>
      </c>
      <c r="E92" s="8" t="s">
        <v>172</v>
      </c>
      <c r="F92" s="8">
        <v>10</v>
      </c>
      <c r="G92" s="19">
        <f t="shared" si="14"/>
        <v>9.8039215686274508E-2</v>
      </c>
      <c r="H92" s="20">
        <f t="shared" si="15"/>
        <v>-2.3223877202902252</v>
      </c>
      <c r="I92" s="20">
        <f t="shared" si="16"/>
        <v>-0.22768507061668875</v>
      </c>
      <c r="J92" s="34">
        <f t="shared" si="17"/>
        <v>9.6116878123798533E-3</v>
      </c>
    </row>
    <row r="93" spans="1:10" ht="15.75" x14ac:dyDescent="0.25">
      <c r="A93" s="139">
        <v>12</v>
      </c>
      <c r="B93" s="8" t="s">
        <v>28</v>
      </c>
      <c r="C93" s="21" t="s">
        <v>90</v>
      </c>
      <c r="D93" s="7" t="s">
        <v>25</v>
      </c>
      <c r="E93" s="8" t="s">
        <v>67</v>
      </c>
      <c r="F93" s="8">
        <v>2</v>
      </c>
      <c r="G93" s="19">
        <f t="shared" si="14"/>
        <v>1.9607843137254902E-2</v>
      </c>
      <c r="H93" s="20">
        <f t="shared" si="15"/>
        <v>-3.9318256327243257</v>
      </c>
      <c r="I93" s="20">
        <f t="shared" si="16"/>
        <v>-7.7094620249496579E-2</v>
      </c>
      <c r="J93" s="34">
        <f t="shared" si="17"/>
        <v>3.8446751249519417E-4</v>
      </c>
    </row>
    <row r="94" spans="1:10" ht="15.75" x14ac:dyDescent="0.25">
      <c r="A94" s="139">
        <v>13</v>
      </c>
      <c r="B94" s="8" t="s">
        <v>7</v>
      </c>
      <c r="C94" s="21" t="s">
        <v>93</v>
      </c>
      <c r="D94" s="7" t="s">
        <v>11</v>
      </c>
      <c r="E94" s="7" t="s">
        <v>176</v>
      </c>
      <c r="F94" s="8">
        <v>9</v>
      </c>
      <c r="G94" s="19">
        <f t="shared" si="14"/>
        <v>8.8235294117647065E-2</v>
      </c>
      <c r="H94" s="20">
        <f t="shared" si="15"/>
        <v>-2.4277482359480516</v>
      </c>
      <c r="I94" s="20">
        <f t="shared" si="16"/>
        <v>-0.21421307964247516</v>
      </c>
      <c r="J94" s="34">
        <f t="shared" si="17"/>
        <v>7.785467128027683E-3</v>
      </c>
    </row>
    <row r="95" spans="1:10" ht="15.75" x14ac:dyDescent="0.25">
      <c r="A95" s="139">
        <v>14</v>
      </c>
      <c r="B95" s="8" t="s">
        <v>7</v>
      </c>
      <c r="C95" s="21" t="s">
        <v>93</v>
      </c>
      <c r="D95" s="8" t="s">
        <v>11</v>
      </c>
      <c r="E95" s="8" t="s">
        <v>67</v>
      </c>
      <c r="F95" s="8">
        <v>1</v>
      </c>
      <c r="G95" s="19">
        <f t="shared" si="14"/>
        <v>9.8039215686274508E-3</v>
      </c>
      <c r="H95" s="20">
        <f t="shared" si="15"/>
        <v>-4.6249728132842707</v>
      </c>
      <c r="I95" s="20">
        <f t="shared" si="16"/>
        <v>-4.534287071847324E-2</v>
      </c>
      <c r="J95" s="34">
        <f t="shared" si="17"/>
        <v>9.6116878123798542E-5</v>
      </c>
    </row>
    <row r="96" spans="1:10" ht="15.75" x14ac:dyDescent="0.25">
      <c r="A96" s="165" t="s">
        <v>82</v>
      </c>
      <c r="B96" s="165"/>
      <c r="C96" s="165"/>
      <c r="D96" s="165"/>
      <c r="E96" s="165"/>
      <c r="F96" s="47">
        <f>SUM(F82:F95)</f>
        <v>102</v>
      </c>
      <c r="G96" s="47"/>
      <c r="H96" s="47"/>
      <c r="I96" s="63">
        <f>SUM(I82:I95)</f>
        <v>-2.3284501496131949</v>
      </c>
      <c r="J96" s="63">
        <f>SUM(J82:J95)</f>
        <v>0.11476355247981548</v>
      </c>
    </row>
    <row r="97" spans="1:10" ht="15.75" x14ac:dyDescent="0.25">
      <c r="A97" s="166" t="s">
        <v>83</v>
      </c>
      <c r="B97" s="166"/>
      <c r="C97" s="166"/>
      <c r="D97" s="166"/>
      <c r="E97" s="166"/>
      <c r="F97" s="38"/>
      <c r="G97" s="39"/>
      <c r="H97" s="39"/>
      <c r="I97" s="40">
        <f>-(I96)</f>
        <v>2.3284501496131949</v>
      </c>
      <c r="J97" s="39"/>
    </row>
    <row r="98" spans="1:10" ht="15.75" x14ac:dyDescent="0.25">
      <c r="A98" s="167" t="s">
        <v>84</v>
      </c>
      <c r="B98" s="167"/>
      <c r="C98" s="167"/>
      <c r="D98" s="167"/>
      <c r="E98" s="167"/>
      <c r="F98" s="41"/>
      <c r="G98" s="42"/>
      <c r="H98" s="42"/>
      <c r="I98" s="43">
        <f>I97/LN(14)</f>
        <v>0.88230373909787474</v>
      </c>
      <c r="J98" s="42"/>
    </row>
    <row r="99" spans="1:10" ht="15.75" x14ac:dyDescent="0.25">
      <c r="A99" s="168" t="s">
        <v>85</v>
      </c>
      <c r="B99" s="168"/>
      <c r="C99" s="168"/>
      <c r="D99" s="168"/>
      <c r="E99" s="168"/>
      <c r="F99" s="44"/>
      <c r="G99" s="45"/>
      <c r="H99" s="45"/>
      <c r="I99" s="46">
        <f>J96</f>
        <v>0.11476355247981548</v>
      </c>
      <c r="J99" s="45"/>
    </row>
    <row r="101" spans="1:10" x14ac:dyDescent="0.25">
      <c r="A101" t="s">
        <v>144</v>
      </c>
    </row>
    <row r="102" spans="1:10" ht="15.75" x14ac:dyDescent="0.25">
      <c r="A102" s="65" t="s">
        <v>98</v>
      </c>
      <c r="B102" s="22" t="s">
        <v>6</v>
      </c>
      <c r="C102" s="22" t="s">
        <v>88</v>
      </c>
      <c r="D102" s="22" t="s">
        <v>3</v>
      </c>
      <c r="E102" s="22" t="s">
        <v>65</v>
      </c>
      <c r="F102" s="25" t="s">
        <v>99</v>
      </c>
      <c r="G102" s="25" t="s">
        <v>79</v>
      </c>
      <c r="H102" s="25" t="s">
        <v>81</v>
      </c>
      <c r="I102" s="25" t="s">
        <v>80</v>
      </c>
      <c r="J102" s="65" t="s">
        <v>100</v>
      </c>
    </row>
    <row r="103" spans="1:10" ht="15.75" x14ac:dyDescent="0.25">
      <c r="A103" s="139">
        <v>1</v>
      </c>
      <c r="B103" s="21" t="s">
        <v>158</v>
      </c>
      <c r="C103" s="21" t="s">
        <v>89</v>
      </c>
      <c r="D103" s="21" t="s">
        <v>21</v>
      </c>
      <c r="E103" s="21" t="s">
        <v>177</v>
      </c>
      <c r="F103" s="8">
        <v>1</v>
      </c>
      <c r="G103" s="34">
        <f>F103/123</f>
        <v>8.130081300813009E-3</v>
      </c>
      <c r="H103" s="8">
        <f>LN(G103)</f>
        <v>-4.8121843553724171</v>
      </c>
      <c r="I103" s="8">
        <f>G103*H103</f>
        <v>-3.912345004367819E-2</v>
      </c>
      <c r="J103" s="35">
        <f>G103^2</f>
        <v>6.6098221957829344E-5</v>
      </c>
    </row>
    <row r="104" spans="1:10" ht="15.75" x14ac:dyDescent="0.25">
      <c r="A104" s="139">
        <v>2</v>
      </c>
      <c r="B104" s="21" t="s">
        <v>7</v>
      </c>
      <c r="C104" s="21" t="s">
        <v>91</v>
      </c>
      <c r="D104" s="8" t="s">
        <v>20</v>
      </c>
      <c r="E104" s="21" t="s">
        <v>9</v>
      </c>
      <c r="F104" s="8">
        <v>12</v>
      </c>
      <c r="G104" s="34">
        <f t="shared" ref="G104:G114" si="18">F104/123</f>
        <v>9.7560975609756101E-2</v>
      </c>
      <c r="H104" s="8">
        <f t="shared" ref="H104:H114" si="19">LN(G104)</f>
        <v>-2.3272777055844172</v>
      </c>
      <c r="I104" s="8">
        <f t="shared" ref="I104:I114" si="20">G104*H104</f>
        <v>-0.22705148347165047</v>
      </c>
      <c r="J104" s="35">
        <f t="shared" ref="J104:J114" si="21">G104^2</f>
        <v>9.5181439619274246E-3</v>
      </c>
    </row>
    <row r="105" spans="1:10" ht="15.75" x14ac:dyDescent="0.25">
      <c r="A105" s="139">
        <v>3</v>
      </c>
      <c r="B105" s="21" t="s">
        <v>7</v>
      </c>
      <c r="C105" s="21" t="s">
        <v>91</v>
      </c>
      <c r="D105" s="8" t="s">
        <v>8</v>
      </c>
      <c r="E105" s="8" t="s">
        <v>167</v>
      </c>
      <c r="F105" s="8">
        <v>2</v>
      </c>
      <c r="G105" s="34">
        <f t="shared" si="18"/>
        <v>1.6260162601626018E-2</v>
      </c>
      <c r="H105" s="8">
        <f t="shared" si="19"/>
        <v>-4.1190371748124717</v>
      </c>
      <c r="I105" s="8">
        <f t="shared" si="20"/>
        <v>-6.6976214224593045E-2</v>
      </c>
      <c r="J105" s="35">
        <f t="shared" si="21"/>
        <v>2.6439288783131737E-4</v>
      </c>
    </row>
    <row r="106" spans="1:10" ht="15.75" x14ac:dyDescent="0.25">
      <c r="A106" s="139">
        <v>4</v>
      </c>
      <c r="B106" s="21" t="s">
        <v>7</v>
      </c>
      <c r="C106" s="21" t="s">
        <v>91</v>
      </c>
      <c r="D106" s="8" t="s">
        <v>8</v>
      </c>
      <c r="E106" s="8" t="s">
        <v>169</v>
      </c>
      <c r="F106" s="8">
        <v>32</v>
      </c>
      <c r="G106" s="34">
        <f t="shared" si="18"/>
        <v>0.26016260162601629</v>
      </c>
      <c r="H106" s="8">
        <f t="shared" si="19"/>
        <v>-1.3464484525726907</v>
      </c>
      <c r="I106" s="8">
        <f t="shared" si="20"/>
        <v>-0.35029553237663502</v>
      </c>
      <c r="J106" s="35">
        <f t="shared" si="21"/>
        <v>6.7684579284817248E-2</v>
      </c>
    </row>
    <row r="107" spans="1:10" ht="15.75" x14ac:dyDescent="0.25">
      <c r="A107" s="139">
        <v>5</v>
      </c>
      <c r="B107" s="7" t="s">
        <v>7</v>
      </c>
      <c r="C107" s="21" t="s">
        <v>91</v>
      </c>
      <c r="D107" s="8" t="s">
        <v>8</v>
      </c>
      <c r="E107" s="8" t="s">
        <v>170</v>
      </c>
      <c r="F107" s="8">
        <v>2</v>
      </c>
      <c r="G107" s="34">
        <f t="shared" si="18"/>
        <v>1.6260162601626018E-2</v>
      </c>
      <c r="H107" s="8">
        <f t="shared" si="19"/>
        <v>-4.1190371748124717</v>
      </c>
      <c r="I107" s="8">
        <f t="shared" si="20"/>
        <v>-6.6976214224593045E-2</v>
      </c>
      <c r="J107" s="35">
        <f t="shared" si="21"/>
        <v>2.6439288783131737E-4</v>
      </c>
    </row>
    <row r="108" spans="1:10" ht="15.75" x14ac:dyDescent="0.25">
      <c r="A108" s="139">
        <v>6</v>
      </c>
      <c r="B108" s="7" t="s">
        <v>7</v>
      </c>
      <c r="C108" s="21" t="s">
        <v>91</v>
      </c>
      <c r="D108" s="8" t="s">
        <v>8</v>
      </c>
      <c r="E108" s="21" t="s">
        <v>9</v>
      </c>
      <c r="F108" s="8">
        <v>36</v>
      </c>
      <c r="G108" s="34">
        <f t="shared" si="18"/>
        <v>0.29268292682926828</v>
      </c>
      <c r="H108" s="8">
        <f t="shared" si="19"/>
        <v>-1.2286654169163076</v>
      </c>
      <c r="I108" s="8">
        <f t="shared" si="20"/>
        <v>-0.35960939031696804</v>
      </c>
      <c r="J108" s="35">
        <f t="shared" si="21"/>
        <v>8.5663295657346802E-2</v>
      </c>
    </row>
    <row r="109" spans="1:10" ht="15.75" x14ac:dyDescent="0.25">
      <c r="A109" s="139">
        <v>7</v>
      </c>
      <c r="B109" s="7" t="s">
        <v>7</v>
      </c>
      <c r="C109" s="21" t="s">
        <v>91</v>
      </c>
      <c r="D109" s="8" t="s">
        <v>8</v>
      </c>
      <c r="E109" s="21" t="s">
        <v>16</v>
      </c>
      <c r="F109" s="8">
        <v>4</v>
      </c>
      <c r="G109" s="34">
        <f t="shared" si="18"/>
        <v>3.2520325203252036E-2</v>
      </c>
      <c r="H109" s="8">
        <f t="shared" si="19"/>
        <v>-3.4258899942525267</v>
      </c>
      <c r="I109" s="8">
        <f t="shared" si="20"/>
        <v>-0.11141105672365942</v>
      </c>
      <c r="J109" s="35">
        <f t="shared" si="21"/>
        <v>1.0575715513252695E-3</v>
      </c>
    </row>
    <row r="110" spans="1:10" ht="15.75" x14ac:dyDescent="0.25">
      <c r="A110" s="139">
        <v>8</v>
      </c>
      <c r="B110" s="7" t="s">
        <v>7</v>
      </c>
      <c r="C110" s="21" t="s">
        <v>91</v>
      </c>
      <c r="D110" s="8" t="s">
        <v>14</v>
      </c>
      <c r="E110" s="8" t="s">
        <v>9</v>
      </c>
      <c r="F110" s="8">
        <v>4</v>
      </c>
      <c r="G110" s="34">
        <f t="shared" si="18"/>
        <v>3.2520325203252036E-2</v>
      </c>
      <c r="H110" s="8">
        <f t="shared" si="19"/>
        <v>-3.4258899942525267</v>
      </c>
      <c r="I110" s="8">
        <f t="shared" si="20"/>
        <v>-0.11141105672365942</v>
      </c>
      <c r="J110" s="35">
        <f t="shared" si="21"/>
        <v>1.0575715513252695E-3</v>
      </c>
    </row>
    <row r="111" spans="1:10" ht="15.75" x14ac:dyDescent="0.25">
      <c r="A111" s="139">
        <v>9</v>
      </c>
      <c r="B111" s="7" t="s">
        <v>7</v>
      </c>
      <c r="C111" s="21" t="s">
        <v>91</v>
      </c>
      <c r="D111" s="8" t="s">
        <v>14</v>
      </c>
      <c r="E111" s="8" t="s">
        <v>16</v>
      </c>
      <c r="F111" s="8">
        <v>1</v>
      </c>
      <c r="G111" s="34">
        <f t="shared" si="18"/>
        <v>8.130081300813009E-3</v>
      </c>
      <c r="H111" s="8">
        <f t="shared" si="19"/>
        <v>-4.8121843553724171</v>
      </c>
      <c r="I111" s="8">
        <f t="shared" si="20"/>
        <v>-3.912345004367819E-2</v>
      </c>
      <c r="J111" s="35">
        <f t="shared" si="21"/>
        <v>6.6098221957829344E-5</v>
      </c>
    </row>
    <row r="112" spans="1:10" ht="15.75" x14ac:dyDescent="0.25">
      <c r="A112" s="139">
        <v>10</v>
      </c>
      <c r="B112" s="7" t="s">
        <v>7</v>
      </c>
      <c r="C112" s="21" t="s">
        <v>91</v>
      </c>
      <c r="D112" s="7" t="s">
        <v>12</v>
      </c>
      <c r="E112" s="8" t="s">
        <v>172</v>
      </c>
      <c r="F112" s="8">
        <v>16</v>
      </c>
      <c r="G112" s="34">
        <f t="shared" si="18"/>
        <v>0.13008130081300814</v>
      </c>
      <c r="H112" s="8">
        <f t="shared" si="19"/>
        <v>-2.0395956331326364</v>
      </c>
      <c r="I112" s="8">
        <f t="shared" si="20"/>
        <v>-0.26531325309042425</v>
      </c>
      <c r="J112" s="35">
        <f t="shared" si="21"/>
        <v>1.6921144821204312E-2</v>
      </c>
    </row>
    <row r="113" spans="1:10" ht="15.75" x14ac:dyDescent="0.25">
      <c r="A113" s="139">
        <v>11</v>
      </c>
      <c r="B113" s="8" t="s">
        <v>7</v>
      </c>
      <c r="C113" s="21" t="s">
        <v>93</v>
      </c>
      <c r="D113" s="7" t="s">
        <v>11</v>
      </c>
      <c r="E113" s="7" t="s">
        <v>176</v>
      </c>
      <c r="F113" s="8">
        <v>3</v>
      </c>
      <c r="G113" s="34">
        <f t="shared" si="18"/>
        <v>2.4390243902439025E-2</v>
      </c>
      <c r="H113" s="8">
        <f t="shared" si="19"/>
        <v>-3.713572066704308</v>
      </c>
      <c r="I113" s="8">
        <f t="shared" si="20"/>
        <v>-9.057492845620263E-2</v>
      </c>
      <c r="J113" s="35">
        <f t="shared" si="21"/>
        <v>5.9488399762046404E-4</v>
      </c>
    </row>
    <row r="114" spans="1:10" ht="15.75" x14ac:dyDescent="0.25">
      <c r="A114" s="139">
        <v>12</v>
      </c>
      <c r="B114" s="8" t="s">
        <v>7</v>
      </c>
      <c r="C114" s="21" t="s">
        <v>93</v>
      </c>
      <c r="D114" s="8" t="s">
        <v>11</v>
      </c>
      <c r="E114" s="8" t="s">
        <v>67</v>
      </c>
      <c r="F114" s="8">
        <v>10</v>
      </c>
      <c r="G114" s="34">
        <f t="shared" si="18"/>
        <v>8.1300813008130079E-2</v>
      </c>
      <c r="H114" s="8">
        <f t="shared" si="19"/>
        <v>-2.5095992623783721</v>
      </c>
      <c r="I114" s="8">
        <f t="shared" si="20"/>
        <v>-0.2040324603559652</v>
      </c>
      <c r="J114" s="35">
        <f t="shared" si="21"/>
        <v>6.6098221957829328E-3</v>
      </c>
    </row>
    <row r="115" spans="1:10" ht="15.75" x14ac:dyDescent="0.25">
      <c r="A115" s="165" t="s">
        <v>82</v>
      </c>
      <c r="B115" s="165"/>
      <c r="C115" s="165"/>
      <c r="D115" s="165"/>
      <c r="E115" s="165"/>
      <c r="F115" s="47">
        <f>SUM(F103:F114)</f>
        <v>123</v>
      </c>
      <c r="G115" s="47"/>
      <c r="H115" s="47"/>
      <c r="I115" s="47">
        <f>SUM(I103:I114)</f>
        <v>-1.9318984900517071</v>
      </c>
      <c r="J115" s="48">
        <f>SUM(J103:J114)</f>
        <v>0.18976799524092802</v>
      </c>
    </row>
    <row r="116" spans="1:10" ht="15.75" x14ac:dyDescent="0.25">
      <c r="A116" s="166" t="s">
        <v>83</v>
      </c>
      <c r="B116" s="166"/>
      <c r="C116" s="166"/>
      <c r="D116" s="166"/>
      <c r="E116" s="166"/>
      <c r="F116" s="38"/>
      <c r="G116" s="39"/>
      <c r="H116" s="39"/>
      <c r="I116" s="40">
        <f>-(I115)</f>
        <v>1.9318984900517071</v>
      </c>
      <c r="J116" s="39"/>
    </row>
    <row r="117" spans="1:10" ht="15.75" x14ac:dyDescent="0.25">
      <c r="A117" s="167" t="s">
        <v>84</v>
      </c>
      <c r="B117" s="167"/>
      <c r="C117" s="167"/>
      <c r="D117" s="167"/>
      <c r="E117" s="167"/>
      <c r="F117" s="41"/>
      <c r="G117" s="42"/>
      <c r="H117" s="42"/>
      <c r="I117" s="43">
        <f>I116/LN(12)</f>
        <v>0.7774531450573916</v>
      </c>
      <c r="J117" s="42"/>
    </row>
    <row r="118" spans="1:10" ht="15.75" x14ac:dyDescent="0.25">
      <c r="A118" s="168" t="s">
        <v>85</v>
      </c>
      <c r="B118" s="168"/>
      <c r="C118" s="168"/>
      <c r="D118" s="168"/>
      <c r="E118" s="168"/>
      <c r="F118" s="44"/>
      <c r="G118" s="45"/>
      <c r="H118" s="45"/>
      <c r="I118" s="46">
        <f>J115</f>
        <v>0.18976799524092802</v>
      </c>
      <c r="J118" s="45"/>
    </row>
    <row r="120" spans="1:10" x14ac:dyDescent="0.25">
      <c r="A120" t="s">
        <v>161</v>
      </c>
    </row>
    <row r="121" spans="1:10" x14ac:dyDescent="0.25">
      <c r="A121" s="72" t="s">
        <v>86</v>
      </c>
      <c r="B121" s="66" t="s">
        <v>6</v>
      </c>
      <c r="C121" s="66" t="s">
        <v>88</v>
      </c>
      <c r="D121" s="66" t="s">
        <v>3</v>
      </c>
      <c r="E121" s="66" t="s">
        <v>65</v>
      </c>
      <c r="F121" s="66" t="s">
        <v>66</v>
      </c>
      <c r="G121" s="67" t="s">
        <v>79</v>
      </c>
      <c r="H121" s="67" t="s">
        <v>81</v>
      </c>
      <c r="I121" s="67" t="s">
        <v>80</v>
      </c>
      <c r="J121" s="67" t="s">
        <v>87</v>
      </c>
    </row>
    <row r="122" spans="1:10" x14ac:dyDescent="0.25">
      <c r="A122" s="73">
        <v>1</v>
      </c>
      <c r="B122" s="74" t="s">
        <v>158</v>
      </c>
      <c r="C122" s="68" t="s">
        <v>89</v>
      </c>
      <c r="D122" s="68" t="s">
        <v>21</v>
      </c>
      <c r="E122" s="68" t="s">
        <v>177</v>
      </c>
      <c r="F122" s="75">
        <f>1+1+3+2+1</f>
        <v>8</v>
      </c>
      <c r="G122" s="76">
        <f t="shared" ref="G122:G152" si="22">F122/960</f>
        <v>8.3333333333333332E-3</v>
      </c>
      <c r="H122" s="78">
        <f>LN(G122)</f>
        <v>-4.7874917427820458</v>
      </c>
      <c r="I122" s="76">
        <f>G122*H122</f>
        <v>-3.9895764523183712E-2</v>
      </c>
      <c r="J122" s="85">
        <f>G122^2</f>
        <v>6.9444444444444444E-5</v>
      </c>
    </row>
    <row r="123" spans="1:10" x14ac:dyDescent="0.25">
      <c r="A123" s="73">
        <v>2</v>
      </c>
      <c r="B123" s="74" t="s">
        <v>158</v>
      </c>
      <c r="C123" s="68" t="s">
        <v>89</v>
      </c>
      <c r="D123" s="68" t="s">
        <v>21</v>
      </c>
      <c r="E123" s="68" t="s">
        <v>162</v>
      </c>
      <c r="F123" s="75">
        <f>1+0+0+0+0</f>
        <v>1</v>
      </c>
      <c r="G123" s="76">
        <f t="shared" si="22"/>
        <v>1.0416666666666667E-3</v>
      </c>
      <c r="H123" s="78">
        <f t="shared" ref="H123:H149" si="23">LN(G123)</f>
        <v>-6.866933284461882</v>
      </c>
      <c r="I123" s="76">
        <f t="shared" ref="I123:I149" si="24">G123*H123</f>
        <v>-7.1530555046477933E-3</v>
      </c>
      <c r="J123" s="82">
        <f t="shared" ref="J123:J149" si="25">G123^2</f>
        <v>1.0850694444444444E-6</v>
      </c>
    </row>
    <row r="124" spans="1:10" x14ac:dyDescent="0.25">
      <c r="A124" s="73">
        <v>3</v>
      </c>
      <c r="B124" s="75" t="s">
        <v>28</v>
      </c>
      <c r="C124" s="69" t="s">
        <v>89</v>
      </c>
      <c r="D124" s="68" t="s">
        <v>26</v>
      </c>
      <c r="E124" s="68" t="s">
        <v>67</v>
      </c>
      <c r="F124" s="75">
        <f>4+0+13+0+0</f>
        <v>17</v>
      </c>
      <c r="G124" s="76">
        <f>F124/960</f>
        <v>1.7708333333333333E-2</v>
      </c>
      <c r="H124" s="78">
        <f>LN(G124)</f>
        <v>-4.0337199404056658</v>
      </c>
      <c r="I124" s="76">
        <f>G124*H124</f>
        <v>-7.1430457278017001E-2</v>
      </c>
      <c r="J124" s="82">
        <f>G124^2</f>
        <v>3.135850694444444E-4</v>
      </c>
    </row>
    <row r="125" spans="1:10" x14ac:dyDescent="0.25">
      <c r="A125" s="73">
        <v>4</v>
      </c>
      <c r="B125" s="74" t="s">
        <v>19</v>
      </c>
      <c r="C125" s="68" t="s">
        <v>89</v>
      </c>
      <c r="D125" s="68" t="s">
        <v>29</v>
      </c>
      <c r="E125" s="69" t="s">
        <v>67</v>
      </c>
      <c r="F125" s="75">
        <f>6+3+7+0+0</f>
        <v>16</v>
      </c>
      <c r="G125" s="76">
        <f t="shared" si="22"/>
        <v>1.6666666666666666E-2</v>
      </c>
      <c r="H125" s="78">
        <f t="shared" si="23"/>
        <v>-4.0943445622221004</v>
      </c>
      <c r="I125" s="76">
        <f t="shared" si="24"/>
        <v>-6.823907603703501E-2</v>
      </c>
      <c r="J125" s="82">
        <f t="shared" si="25"/>
        <v>2.7777777777777778E-4</v>
      </c>
    </row>
    <row r="126" spans="1:10" x14ac:dyDescent="0.25">
      <c r="A126" s="73">
        <v>5</v>
      </c>
      <c r="B126" s="75" t="s">
        <v>7</v>
      </c>
      <c r="C126" s="69" t="s">
        <v>91</v>
      </c>
      <c r="D126" s="69" t="s">
        <v>20</v>
      </c>
      <c r="E126" s="68" t="s">
        <v>165</v>
      </c>
      <c r="F126" s="75">
        <f>7+1+21+4+12+13</f>
        <v>58</v>
      </c>
      <c r="G126" s="76">
        <f t="shared" si="22"/>
        <v>6.0416666666666667E-2</v>
      </c>
      <c r="H126" s="78">
        <f t="shared" si="23"/>
        <v>-2.8064902739154625</v>
      </c>
      <c r="I126" s="76">
        <f t="shared" si="24"/>
        <v>-0.16955878738239252</v>
      </c>
      <c r="J126" s="82">
        <f t="shared" si="25"/>
        <v>3.650173611111111E-3</v>
      </c>
    </row>
    <row r="127" spans="1:10" x14ac:dyDescent="0.25">
      <c r="A127" s="73">
        <v>6</v>
      </c>
      <c r="B127" s="75" t="s">
        <v>7</v>
      </c>
      <c r="C127" s="69" t="s">
        <v>91</v>
      </c>
      <c r="D127" s="69" t="s">
        <v>20</v>
      </c>
      <c r="E127" s="68" t="s">
        <v>166</v>
      </c>
      <c r="F127" s="75">
        <f>0+5+0+0+0</f>
        <v>5</v>
      </c>
      <c r="G127" s="76">
        <f t="shared" si="22"/>
        <v>5.208333333333333E-3</v>
      </c>
      <c r="H127" s="78">
        <f t="shared" si="23"/>
        <v>-5.2574953720277815</v>
      </c>
      <c r="I127" s="76">
        <f t="shared" si="24"/>
        <v>-2.7382788395978026E-2</v>
      </c>
      <c r="J127" s="82">
        <f t="shared" si="25"/>
        <v>2.712673611111111E-5</v>
      </c>
    </row>
    <row r="128" spans="1:10" x14ac:dyDescent="0.25">
      <c r="A128" s="73">
        <v>7</v>
      </c>
      <c r="B128" s="74" t="s">
        <v>7</v>
      </c>
      <c r="C128" s="68" t="s">
        <v>91</v>
      </c>
      <c r="D128" s="69" t="s">
        <v>8</v>
      </c>
      <c r="E128" s="69" t="s">
        <v>167</v>
      </c>
      <c r="F128" s="75">
        <f>10+36+29+16+2</f>
        <v>93</v>
      </c>
      <c r="G128" s="76">
        <f t="shared" si="22"/>
        <v>9.6875000000000003E-2</v>
      </c>
      <c r="H128" s="78">
        <f t="shared" si="23"/>
        <v>-2.3343337913086262</v>
      </c>
      <c r="I128" s="76">
        <f t="shared" si="24"/>
        <v>-0.22613858603302317</v>
      </c>
      <c r="J128" s="82">
        <f t="shared" si="25"/>
        <v>9.3847656250000012E-3</v>
      </c>
    </row>
    <row r="129" spans="1:10" x14ac:dyDescent="0.25">
      <c r="A129" s="73">
        <v>8</v>
      </c>
      <c r="B129" s="74" t="s">
        <v>7</v>
      </c>
      <c r="C129" s="68" t="s">
        <v>91</v>
      </c>
      <c r="D129" s="69" t="s">
        <v>8</v>
      </c>
      <c r="E129" s="69" t="s">
        <v>168</v>
      </c>
      <c r="F129" s="75">
        <f>1+2+0+0+0</f>
        <v>3</v>
      </c>
      <c r="G129" s="76">
        <f t="shared" si="22"/>
        <v>3.1250000000000002E-3</v>
      </c>
      <c r="H129" s="78">
        <f t="shared" si="23"/>
        <v>-5.768320995793772</v>
      </c>
      <c r="I129" s="76">
        <f t="shared" si="24"/>
        <v>-1.8026003111855537E-2</v>
      </c>
      <c r="J129" s="82">
        <f t="shared" si="25"/>
        <v>9.7656250000000019E-6</v>
      </c>
    </row>
    <row r="130" spans="1:10" x14ac:dyDescent="0.25">
      <c r="A130" s="73">
        <v>9</v>
      </c>
      <c r="B130" s="74" t="s">
        <v>7</v>
      </c>
      <c r="C130" s="68" t="s">
        <v>91</v>
      </c>
      <c r="D130" s="69" t="s">
        <v>8</v>
      </c>
      <c r="E130" s="69" t="s">
        <v>169</v>
      </c>
      <c r="F130" s="75">
        <f>52+97+19+13+32</f>
        <v>213</v>
      </c>
      <c r="G130" s="76">
        <f t="shared" si="22"/>
        <v>0.22187499999999999</v>
      </c>
      <c r="H130" s="78">
        <f t="shared" si="23"/>
        <v>-1.5056411187524568</v>
      </c>
      <c r="I130" s="76">
        <f t="shared" si="24"/>
        <v>-0.33406412322320134</v>
      </c>
      <c r="J130" s="82">
        <f t="shared" si="25"/>
        <v>4.9228515624999997E-2</v>
      </c>
    </row>
    <row r="131" spans="1:10" x14ac:dyDescent="0.25">
      <c r="A131" s="73">
        <v>10</v>
      </c>
      <c r="B131" s="75" t="s">
        <v>7</v>
      </c>
      <c r="C131" s="69" t="s">
        <v>91</v>
      </c>
      <c r="D131" s="69" t="s">
        <v>8</v>
      </c>
      <c r="E131" s="69" t="s">
        <v>170</v>
      </c>
      <c r="F131" s="75">
        <f>8+59+7+15+2</f>
        <v>91</v>
      </c>
      <c r="G131" s="76">
        <f t="shared" si="22"/>
        <v>9.4791666666666663E-2</v>
      </c>
      <c r="H131" s="78">
        <f>LN(G131)</f>
        <v>-2.3560737779450318</v>
      </c>
      <c r="I131" s="76">
        <f>G131*H131</f>
        <v>-0.22333616020103947</v>
      </c>
      <c r="J131" s="82">
        <f>G131^2</f>
        <v>8.9854600694444439E-3</v>
      </c>
    </row>
    <row r="132" spans="1:10" x14ac:dyDescent="0.25">
      <c r="A132" s="73">
        <v>11</v>
      </c>
      <c r="B132" s="75" t="s">
        <v>7</v>
      </c>
      <c r="C132" s="68" t="s">
        <v>91</v>
      </c>
      <c r="D132" s="69" t="s">
        <v>8</v>
      </c>
      <c r="E132" s="68" t="s">
        <v>9</v>
      </c>
      <c r="F132" s="75">
        <f>34+13+11+17+36</f>
        <v>111</v>
      </c>
      <c r="G132" s="76">
        <f t="shared" si="22"/>
        <v>0.11562500000000001</v>
      </c>
      <c r="H132" s="78">
        <f t="shared" si="23"/>
        <v>-2.1574030831495477</v>
      </c>
      <c r="I132" s="76">
        <f t="shared" si="24"/>
        <v>-0.24944973148916647</v>
      </c>
      <c r="J132" s="82">
        <f t="shared" si="25"/>
        <v>1.3369140625000001E-2</v>
      </c>
    </row>
    <row r="133" spans="1:10" x14ac:dyDescent="0.25">
      <c r="A133" s="73">
        <v>12</v>
      </c>
      <c r="B133" s="75" t="s">
        <v>7</v>
      </c>
      <c r="C133" s="68" t="s">
        <v>91</v>
      </c>
      <c r="D133" s="69" t="s">
        <v>8</v>
      </c>
      <c r="E133" s="68" t="s">
        <v>16</v>
      </c>
      <c r="F133" s="75">
        <f>1+2+19+4+4</f>
        <v>30</v>
      </c>
      <c r="G133" s="76">
        <f t="shared" si="22"/>
        <v>3.125E-2</v>
      </c>
      <c r="H133" s="78">
        <f t="shared" si="23"/>
        <v>-3.4657359027997265</v>
      </c>
      <c r="I133" s="76">
        <f t="shared" si="24"/>
        <v>-0.10830424696249145</v>
      </c>
      <c r="J133" s="82">
        <f t="shared" si="25"/>
        <v>9.765625E-4</v>
      </c>
    </row>
    <row r="134" spans="1:10" x14ac:dyDescent="0.25">
      <c r="A134" s="73">
        <v>13</v>
      </c>
      <c r="B134" s="75" t="s">
        <v>7</v>
      </c>
      <c r="C134" s="68" t="s">
        <v>91</v>
      </c>
      <c r="D134" s="69" t="s">
        <v>8</v>
      </c>
      <c r="E134" s="68" t="s">
        <v>23</v>
      </c>
      <c r="F134" s="75">
        <f>0+5+0+0+0</f>
        <v>5</v>
      </c>
      <c r="G134" s="76">
        <f t="shared" si="22"/>
        <v>5.208333333333333E-3</v>
      </c>
      <c r="H134" s="78">
        <f t="shared" si="23"/>
        <v>-5.2574953720277815</v>
      </c>
      <c r="I134" s="76">
        <f t="shared" si="24"/>
        <v>-2.7382788395978026E-2</v>
      </c>
      <c r="J134" s="82">
        <f t="shared" si="25"/>
        <v>2.712673611111111E-5</v>
      </c>
    </row>
    <row r="135" spans="1:10" x14ac:dyDescent="0.25">
      <c r="A135" s="73">
        <v>14</v>
      </c>
      <c r="B135" s="75" t="s">
        <v>7</v>
      </c>
      <c r="C135" s="68" t="s">
        <v>91</v>
      </c>
      <c r="D135" s="69" t="s">
        <v>8</v>
      </c>
      <c r="E135" s="68" t="s">
        <v>31</v>
      </c>
      <c r="F135" s="75">
        <f>0+1+0+4+0</f>
        <v>5</v>
      </c>
      <c r="G135" s="76">
        <f t="shared" si="22"/>
        <v>5.208333333333333E-3</v>
      </c>
      <c r="H135" s="78">
        <f t="shared" si="23"/>
        <v>-5.2574953720277815</v>
      </c>
      <c r="I135" s="76">
        <f t="shared" si="24"/>
        <v>-2.7382788395978026E-2</v>
      </c>
      <c r="J135" s="82">
        <f t="shared" si="25"/>
        <v>2.712673611111111E-5</v>
      </c>
    </row>
    <row r="136" spans="1:10" x14ac:dyDescent="0.25">
      <c r="A136" s="73">
        <v>15</v>
      </c>
      <c r="B136" s="75" t="s">
        <v>7</v>
      </c>
      <c r="C136" s="68" t="s">
        <v>91</v>
      </c>
      <c r="D136" s="69" t="s">
        <v>14</v>
      </c>
      <c r="E136" s="68" t="s">
        <v>9</v>
      </c>
      <c r="F136" s="75">
        <f>0+2+0+1+4</f>
        <v>7</v>
      </c>
      <c r="G136" s="76">
        <f t="shared" si="22"/>
        <v>7.2916666666666668E-3</v>
      </c>
      <c r="H136" s="78">
        <f t="shared" si="23"/>
        <v>-4.9210231354065685</v>
      </c>
      <c r="I136" s="76">
        <f t="shared" si="24"/>
        <v>-3.5882460362339566E-2</v>
      </c>
      <c r="J136" s="82">
        <f t="shared" si="25"/>
        <v>5.3168402777777781E-5</v>
      </c>
    </row>
    <row r="137" spans="1:10" x14ac:dyDescent="0.25">
      <c r="A137" s="73">
        <v>16</v>
      </c>
      <c r="B137" s="75" t="s">
        <v>7</v>
      </c>
      <c r="C137" s="68" t="s">
        <v>91</v>
      </c>
      <c r="D137" s="69" t="s">
        <v>14</v>
      </c>
      <c r="E137" s="68" t="s">
        <v>16</v>
      </c>
      <c r="F137" s="75">
        <f>0+4+0+0+1</f>
        <v>5</v>
      </c>
      <c r="G137" s="76">
        <f t="shared" si="22"/>
        <v>5.208333333333333E-3</v>
      </c>
      <c r="H137" s="78">
        <f t="shared" si="23"/>
        <v>-5.2574953720277815</v>
      </c>
      <c r="I137" s="76">
        <f t="shared" si="24"/>
        <v>-2.7382788395978026E-2</v>
      </c>
      <c r="J137" s="82">
        <f t="shared" si="25"/>
        <v>2.712673611111111E-5</v>
      </c>
    </row>
    <row r="138" spans="1:10" x14ac:dyDescent="0.25">
      <c r="A138" s="73">
        <v>17</v>
      </c>
      <c r="B138" s="75" t="s">
        <v>7</v>
      </c>
      <c r="C138" s="68" t="s">
        <v>91</v>
      </c>
      <c r="D138" s="69" t="s">
        <v>14</v>
      </c>
      <c r="E138" s="68" t="s">
        <v>23</v>
      </c>
      <c r="F138" s="75">
        <f>0+0+1+4+0</f>
        <v>5</v>
      </c>
      <c r="G138" s="76">
        <f t="shared" si="22"/>
        <v>5.208333333333333E-3</v>
      </c>
      <c r="H138" s="78">
        <f t="shared" si="23"/>
        <v>-5.2574953720277815</v>
      </c>
      <c r="I138" s="76">
        <f t="shared" si="24"/>
        <v>-2.7382788395978026E-2</v>
      </c>
      <c r="J138" s="82">
        <f t="shared" si="25"/>
        <v>2.712673611111111E-5</v>
      </c>
    </row>
    <row r="139" spans="1:10" x14ac:dyDescent="0.25">
      <c r="A139" s="73">
        <v>18</v>
      </c>
      <c r="B139" s="75" t="s">
        <v>7</v>
      </c>
      <c r="C139" s="68" t="s">
        <v>91</v>
      </c>
      <c r="D139" s="69" t="s">
        <v>14</v>
      </c>
      <c r="E139" s="68" t="s">
        <v>31</v>
      </c>
      <c r="F139" s="75">
        <f>0+13+0+0+0</f>
        <v>13</v>
      </c>
      <c r="G139" s="76">
        <f t="shared" si="22"/>
        <v>1.3541666666666667E-2</v>
      </c>
      <c r="H139" s="78">
        <f t="shared" si="23"/>
        <v>-4.3019839270003448</v>
      </c>
      <c r="I139" s="76">
        <f t="shared" si="24"/>
        <v>-5.8256032344796337E-2</v>
      </c>
      <c r="J139" s="82">
        <f t="shared" si="25"/>
        <v>1.8337673611111113E-4</v>
      </c>
    </row>
    <row r="140" spans="1:10" x14ac:dyDescent="0.25">
      <c r="A140" s="73">
        <v>19</v>
      </c>
      <c r="B140" s="75" t="s">
        <v>7</v>
      </c>
      <c r="C140" s="68" t="s">
        <v>91</v>
      </c>
      <c r="D140" s="69" t="s">
        <v>12</v>
      </c>
      <c r="E140" s="69" t="s">
        <v>171</v>
      </c>
      <c r="F140" s="75">
        <f>0+3+2+0+0</f>
        <v>5</v>
      </c>
      <c r="G140" s="76">
        <f t="shared" si="22"/>
        <v>5.208333333333333E-3</v>
      </c>
      <c r="H140" s="78">
        <f t="shared" si="23"/>
        <v>-5.2574953720277815</v>
      </c>
      <c r="I140" s="76">
        <f t="shared" si="24"/>
        <v>-2.7382788395978026E-2</v>
      </c>
      <c r="J140" s="82">
        <f t="shared" si="25"/>
        <v>2.712673611111111E-5</v>
      </c>
    </row>
    <row r="141" spans="1:10" x14ac:dyDescent="0.25">
      <c r="A141" s="73">
        <v>20</v>
      </c>
      <c r="B141" s="75" t="s">
        <v>7</v>
      </c>
      <c r="C141" s="68" t="s">
        <v>91</v>
      </c>
      <c r="D141" s="69" t="s">
        <v>12</v>
      </c>
      <c r="E141" s="69" t="s">
        <v>172</v>
      </c>
      <c r="F141" s="75">
        <f>16+10+16+34+26</f>
        <v>102</v>
      </c>
      <c r="G141" s="76">
        <f t="shared" si="22"/>
        <v>0.10625</v>
      </c>
      <c r="H141" s="78">
        <f t="shared" si="23"/>
        <v>-2.2419604711776109</v>
      </c>
      <c r="I141" s="76">
        <f t="shared" si="24"/>
        <v>-0.23820830006262114</v>
      </c>
      <c r="J141" s="82">
        <f t="shared" si="25"/>
        <v>1.1289062499999999E-2</v>
      </c>
    </row>
    <row r="142" spans="1:10" x14ac:dyDescent="0.25">
      <c r="A142" s="73">
        <v>21</v>
      </c>
      <c r="B142" s="75" t="s">
        <v>7</v>
      </c>
      <c r="C142" s="68" t="s">
        <v>91</v>
      </c>
      <c r="D142" s="69" t="s">
        <v>36</v>
      </c>
      <c r="E142" s="68" t="s">
        <v>67</v>
      </c>
      <c r="F142" s="75">
        <f>4+4+0+0+0</f>
        <v>8</v>
      </c>
      <c r="G142" s="76">
        <f t="shared" si="22"/>
        <v>8.3333333333333332E-3</v>
      </c>
      <c r="H142" s="78">
        <f t="shared" si="23"/>
        <v>-4.7874917427820458</v>
      </c>
      <c r="I142" s="76">
        <f t="shared" si="24"/>
        <v>-3.9895764523183712E-2</v>
      </c>
      <c r="J142" s="82">
        <f t="shared" si="25"/>
        <v>6.9444444444444444E-5</v>
      </c>
    </row>
    <row r="143" spans="1:10" x14ac:dyDescent="0.25">
      <c r="A143" s="73">
        <v>22</v>
      </c>
      <c r="B143" s="74" t="s">
        <v>159</v>
      </c>
      <c r="C143" s="68" t="s">
        <v>96</v>
      </c>
      <c r="D143" s="68" t="s">
        <v>35</v>
      </c>
      <c r="E143" s="70" t="s">
        <v>173</v>
      </c>
      <c r="F143" s="75">
        <f>2+0+0+0+0</f>
        <v>2</v>
      </c>
      <c r="G143" s="76">
        <f t="shared" si="22"/>
        <v>2.0833333333333333E-3</v>
      </c>
      <c r="H143" s="78">
        <f t="shared" si="23"/>
        <v>-6.1737861039019366</v>
      </c>
      <c r="I143" s="76">
        <f t="shared" si="24"/>
        <v>-1.2862054383129035E-2</v>
      </c>
      <c r="J143" s="82">
        <f t="shared" si="25"/>
        <v>4.3402777777777778E-6</v>
      </c>
    </row>
    <row r="144" spans="1:10" x14ac:dyDescent="0.25">
      <c r="A144" s="73">
        <v>23</v>
      </c>
      <c r="B144" s="75" t="s">
        <v>28</v>
      </c>
      <c r="C144" s="69" t="s">
        <v>92</v>
      </c>
      <c r="D144" s="69" t="s">
        <v>59</v>
      </c>
      <c r="E144" s="69" t="s">
        <v>67</v>
      </c>
      <c r="F144" s="75">
        <f>0+1+0+0+0</f>
        <v>1</v>
      </c>
      <c r="G144" s="76">
        <f t="shared" si="22"/>
        <v>1.0416666666666667E-3</v>
      </c>
      <c r="H144" s="78">
        <f t="shared" si="23"/>
        <v>-6.866933284461882</v>
      </c>
      <c r="I144" s="76">
        <f t="shared" si="24"/>
        <v>-7.1530555046477933E-3</v>
      </c>
      <c r="J144" s="82">
        <f t="shared" si="25"/>
        <v>1.0850694444444444E-6</v>
      </c>
    </row>
    <row r="145" spans="1:10" x14ac:dyDescent="0.25">
      <c r="A145" s="73">
        <v>24</v>
      </c>
      <c r="B145" s="75" t="s">
        <v>7</v>
      </c>
      <c r="C145" s="69" t="s">
        <v>94</v>
      </c>
      <c r="D145" s="69" t="s">
        <v>57</v>
      </c>
      <c r="E145" s="69" t="s">
        <v>174</v>
      </c>
      <c r="F145" s="75">
        <f>0+3+4+0+0</f>
        <v>7</v>
      </c>
      <c r="G145" s="76">
        <f t="shared" si="22"/>
        <v>7.2916666666666668E-3</v>
      </c>
      <c r="H145" s="78">
        <f t="shared" si="23"/>
        <v>-4.9210231354065685</v>
      </c>
      <c r="I145" s="76">
        <f t="shared" si="24"/>
        <v>-3.5882460362339566E-2</v>
      </c>
      <c r="J145" s="82">
        <f t="shared" si="25"/>
        <v>5.3168402777777781E-5</v>
      </c>
    </row>
    <row r="146" spans="1:10" x14ac:dyDescent="0.25">
      <c r="A146" s="73">
        <v>25</v>
      </c>
      <c r="B146" s="73" t="s">
        <v>28</v>
      </c>
      <c r="C146" s="69" t="s">
        <v>95</v>
      </c>
      <c r="D146" s="69" t="s">
        <v>25</v>
      </c>
      <c r="E146" s="69" t="s">
        <v>175</v>
      </c>
      <c r="F146" s="75">
        <f>1+4+5+0+0</f>
        <v>10</v>
      </c>
      <c r="G146" s="76">
        <f t="shared" si="22"/>
        <v>1.0416666666666666E-2</v>
      </c>
      <c r="H146" s="78">
        <f t="shared" si="23"/>
        <v>-4.5643481914678361</v>
      </c>
      <c r="I146" s="76">
        <f t="shared" si="24"/>
        <v>-4.754529366112329E-2</v>
      </c>
      <c r="J146" s="82">
        <f t="shared" si="25"/>
        <v>1.0850694444444444E-4</v>
      </c>
    </row>
    <row r="147" spans="1:10" x14ac:dyDescent="0.25">
      <c r="A147" s="73">
        <v>26</v>
      </c>
      <c r="B147" s="74" t="s">
        <v>28</v>
      </c>
      <c r="C147" s="69" t="s">
        <v>95</v>
      </c>
      <c r="D147" s="69" t="s">
        <v>25</v>
      </c>
      <c r="E147" s="69" t="s">
        <v>67</v>
      </c>
      <c r="F147" s="75">
        <f>1+0+0+2+0</f>
        <v>3</v>
      </c>
      <c r="G147" s="76">
        <f t="shared" si="22"/>
        <v>3.1250000000000002E-3</v>
      </c>
      <c r="H147" s="78">
        <f t="shared" si="23"/>
        <v>-5.768320995793772</v>
      </c>
      <c r="I147" s="76">
        <f t="shared" si="24"/>
        <v>-1.8026003111855537E-2</v>
      </c>
      <c r="J147" s="82">
        <f t="shared" si="25"/>
        <v>9.7656250000000019E-6</v>
      </c>
    </row>
    <row r="148" spans="1:10" x14ac:dyDescent="0.25">
      <c r="A148" s="73">
        <v>27</v>
      </c>
      <c r="B148" s="73" t="s">
        <v>7</v>
      </c>
      <c r="C148" s="69" t="s">
        <v>93</v>
      </c>
      <c r="D148" s="69" t="s">
        <v>78</v>
      </c>
      <c r="E148" s="68" t="s">
        <v>67</v>
      </c>
      <c r="F148" s="75">
        <f>3+0+0+0+0</f>
        <v>3</v>
      </c>
      <c r="G148" s="76">
        <f t="shared" si="22"/>
        <v>3.1250000000000002E-3</v>
      </c>
      <c r="H148" s="78">
        <f t="shared" si="23"/>
        <v>-5.768320995793772</v>
      </c>
      <c r="I148" s="76">
        <f t="shared" si="24"/>
        <v>-1.8026003111855537E-2</v>
      </c>
      <c r="J148" s="82">
        <f t="shared" si="25"/>
        <v>9.7656250000000019E-6</v>
      </c>
    </row>
    <row r="149" spans="1:10" x14ac:dyDescent="0.25">
      <c r="A149" s="73">
        <v>28</v>
      </c>
      <c r="B149" s="73" t="s">
        <v>7</v>
      </c>
      <c r="C149" s="69" t="s">
        <v>93</v>
      </c>
      <c r="D149" s="69" t="s">
        <v>11</v>
      </c>
      <c r="E149" s="69" t="s">
        <v>176</v>
      </c>
      <c r="F149" s="75">
        <f>7+0+12+9+3</f>
        <v>31</v>
      </c>
      <c r="G149" s="76">
        <f t="shared" si="22"/>
        <v>3.229166666666667E-2</v>
      </c>
      <c r="H149" s="78">
        <f t="shared" si="23"/>
        <v>-3.4329460799767357</v>
      </c>
      <c r="I149" s="76">
        <f t="shared" si="24"/>
        <v>-0.11085555049924876</v>
      </c>
      <c r="J149" s="82">
        <f t="shared" si="25"/>
        <v>1.0427517361111113E-3</v>
      </c>
    </row>
    <row r="150" spans="1:10" x14ac:dyDescent="0.25">
      <c r="A150" s="73">
        <v>29</v>
      </c>
      <c r="B150" s="73" t="s">
        <v>7</v>
      </c>
      <c r="C150" s="69" t="s">
        <v>93</v>
      </c>
      <c r="D150" s="69" t="s">
        <v>11</v>
      </c>
      <c r="E150" s="69" t="s">
        <v>67</v>
      </c>
      <c r="F150" s="75">
        <f>10+1+9+28+41</f>
        <v>89</v>
      </c>
      <c r="G150" s="76">
        <f>F150/960</f>
        <v>9.2708333333333337E-2</v>
      </c>
      <c r="H150" s="78">
        <f>LN(G150)</f>
        <v>-2.3782969147297419</v>
      </c>
      <c r="I150" s="76">
        <f>G150*H150</f>
        <v>-0.22048794313640316</v>
      </c>
      <c r="J150" s="82">
        <f>G150^2</f>
        <v>8.5948350694444453E-3</v>
      </c>
    </row>
    <row r="151" spans="1:10" x14ac:dyDescent="0.25">
      <c r="A151" s="73">
        <v>30</v>
      </c>
      <c r="B151" s="75" t="s">
        <v>19</v>
      </c>
      <c r="C151" s="69" t="s">
        <v>164</v>
      </c>
      <c r="D151" s="69" t="s">
        <v>163</v>
      </c>
      <c r="E151" s="69" t="s">
        <v>67</v>
      </c>
      <c r="F151" s="75">
        <f>0+0+13+0+0</f>
        <v>13</v>
      </c>
      <c r="G151" s="76">
        <f>F151/960</f>
        <v>1.3541666666666667E-2</v>
      </c>
      <c r="H151" s="78">
        <f>LN(G151)</f>
        <v>-4.3019839270003448</v>
      </c>
      <c r="I151" s="76">
        <f>G151*H151</f>
        <v>-5.8256032344796337E-2</v>
      </c>
      <c r="J151" s="82">
        <f>G151^2</f>
        <v>1.8337673611111113E-4</v>
      </c>
    </row>
    <row r="152" spans="1:10" x14ac:dyDescent="0.25">
      <c r="A152" s="143"/>
      <c r="B152" s="175" t="s">
        <v>82</v>
      </c>
      <c r="C152" s="175"/>
      <c r="D152" s="175"/>
      <c r="E152" s="175"/>
      <c r="F152" s="143">
        <f>SUM(F122:F151)</f>
        <v>960</v>
      </c>
      <c r="G152" s="77">
        <f t="shared" si="22"/>
        <v>1</v>
      </c>
      <c r="H152" s="79">
        <f>SUM(H122:H150)</f>
        <v>-127.84789568360182</v>
      </c>
      <c r="I152" s="79">
        <f>SUM(I122:I150)</f>
        <v>-2.5229736431854652</v>
      </c>
      <c r="J152" s="79">
        <f>SUM(J122:J150)</f>
        <v>0.10784830729166665</v>
      </c>
    </row>
    <row r="153" spans="1:10" x14ac:dyDescent="0.25">
      <c r="A153" s="176" t="s">
        <v>83</v>
      </c>
      <c r="B153" s="176"/>
      <c r="C153" s="176"/>
      <c r="D153" s="176"/>
      <c r="E153" s="176"/>
      <c r="F153" s="140"/>
      <c r="G153" s="140"/>
      <c r="H153" s="140"/>
      <c r="I153" s="80">
        <f>-(I152)</f>
        <v>2.5229736431854652</v>
      </c>
      <c r="J153" s="140"/>
    </row>
    <row r="154" spans="1:10" x14ac:dyDescent="0.25">
      <c r="A154" s="173" t="s">
        <v>84</v>
      </c>
      <c r="B154" s="173"/>
      <c r="C154" s="173"/>
      <c r="D154" s="173"/>
      <c r="E154" s="173"/>
      <c r="F154" s="141"/>
      <c r="G154" s="141"/>
      <c r="H154" s="141"/>
      <c r="I154" s="147">
        <f>I153/LN(30)</f>
        <v>0.74178983460010051</v>
      </c>
      <c r="J154" s="141"/>
    </row>
    <row r="155" spans="1:10" x14ac:dyDescent="0.25">
      <c r="A155" s="174" t="s">
        <v>85</v>
      </c>
      <c r="B155" s="174"/>
      <c r="C155" s="174"/>
      <c r="D155" s="174"/>
      <c r="E155" s="174"/>
      <c r="F155" s="142"/>
      <c r="G155" s="142"/>
      <c r="H155" s="142"/>
      <c r="I155" s="146">
        <v>0.11</v>
      </c>
      <c r="J155" s="142"/>
    </row>
  </sheetData>
  <mergeCells count="24">
    <mergeCell ref="A54:E54"/>
    <mergeCell ref="A55:E55"/>
    <mergeCell ref="A75:E75"/>
    <mergeCell ref="A96:E96"/>
    <mergeCell ref="A97:E97"/>
    <mergeCell ref="A23:E23"/>
    <mergeCell ref="A24:E24"/>
    <mergeCell ref="A25:E25"/>
    <mergeCell ref="A26:E26"/>
    <mergeCell ref="A53:E53"/>
    <mergeCell ref="A154:E154"/>
    <mergeCell ref="A155:E155"/>
    <mergeCell ref="A77:E77"/>
    <mergeCell ref="A78:E78"/>
    <mergeCell ref="A56:E56"/>
    <mergeCell ref="A116:E116"/>
    <mergeCell ref="A76:E76"/>
    <mergeCell ref="A98:E98"/>
    <mergeCell ref="A99:E99"/>
    <mergeCell ref="A115:E115"/>
    <mergeCell ref="A153:E153"/>
    <mergeCell ref="A117:E117"/>
    <mergeCell ref="A118:E118"/>
    <mergeCell ref="B152:E152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4"/>
  <sheetViews>
    <sheetView topLeftCell="I5" workbookViewId="0">
      <selection activeCell="P17" sqref="P17"/>
    </sheetView>
  </sheetViews>
  <sheetFormatPr defaultRowHeight="15" x14ac:dyDescent="0.25"/>
  <cols>
    <col min="2" max="2" width="12" customWidth="1"/>
    <col min="9" max="9" width="18.5703125" customWidth="1"/>
    <col min="17" max="17" width="15.7109375" customWidth="1"/>
  </cols>
  <sheetData>
    <row r="2" spans="2:23" x14ac:dyDescent="0.25">
      <c r="C2" t="s">
        <v>106</v>
      </c>
      <c r="D2" t="s">
        <v>107</v>
      </c>
      <c r="E2" t="s">
        <v>109</v>
      </c>
      <c r="F2" t="s">
        <v>110</v>
      </c>
      <c r="G2" t="s">
        <v>111</v>
      </c>
      <c r="H2" t="s">
        <v>145</v>
      </c>
      <c r="R2" t="s">
        <v>106</v>
      </c>
      <c r="S2" t="s">
        <v>107</v>
      </c>
      <c r="T2" t="s">
        <v>109</v>
      </c>
      <c r="U2" t="s">
        <v>110</v>
      </c>
      <c r="V2" t="s">
        <v>111</v>
      </c>
      <c r="W2" t="s">
        <v>147</v>
      </c>
    </row>
    <row r="3" spans="2:23" x14ac:dyDescent="0.25">
      <c r="B3" s="68" t="s">
        <v>101</v>
      </c>
      <c r="C3" s="88">
        <f>1/960</f>
        <v>1.0416666666666667E-3</v>
      </c>
      <c r="D3" s="88">
        <f>1/960</f>
        <v>1.0416666666666667E-3</v>
      </c>
      <c r="E3" s="88">
        <f>3/960</f>
        <v>3.1250000000000002E-3</v>
      </c>
      <c r="F3" s="88">
        <f>2/960</f>
        <v>2.0833333333333333E-3</v>
      </c>
      <c r="G3" s="88">
        <f>1/960</f>
        <v>1.0416666666666667E-3</v>
      </c>
      <c r="H3" s="88">
        <f>SUM(C3:G3)</f>
        <v>8.3333333333333332E-3</v>
      </c>
      <c r="I3" s="69"/>
      <c r="J3" t="s">
        <v>106</v>
      </c>
      <c r="K3" t="s">
        <v>107</v>
      </c>
      <c r="L3" t="s">
        <v>109</v>
      </c>
      <c r="M3" t="s">
        <v>110</v>
      </c>
      <c r="N3" t="s">
        <v>111</v>
      </c>
      <c r="O3" t="s">
        <v>147</v>
      </c>
      <c r="Q3" s="151" t="s">
        <v>18</v>
      </c>
      <c r="R3" s="88">
        <v>5.4166666666666669E-2</v>
      </c>
      <c r="S3" s="88">
        <v>0.10104166666666667</v>
      </c>
      <c r="T3" s="88">
        <v>1.9791666666666666E-2</v>
      </c>
      <c r="U3" s="88">
        <v>1.3541666666666667E-2</v>
      </c>
      <c r="V3" s="88">
        <v>3.3333333333333333E-2</v>
      </c>
      <c r="W3" s="88">
        <v>0.22187499999999999</v>
      </c>
    </row>
    <row r="4" spans="2:23" x14ac:dyDescent="0.25">
      <c r="B4" s="68" t="s">
        <v>112</v>
      </c>
      <c r="C4" s="88">
        <f>1/960</f>
        <v>1.0416666666666667E-3</v>
      </c>
      <c r="D4" s="88">
        <v>0</v>
      </c>
      <c r="E4" s="88">
        <v>0</v>
      </c>
      <c r="F4" s="88">
        <v>0</v>
      </c>
      <c r="G4" s="88">
        <v>0</v>
      </c>
      <c r="H4" s="88">
        <f t="shared" ref="H4:H33" si="0">SUM(C4:G4)</f>
        <v>1.0416666666666667E-3</v>
      </c>
      <c r="I4" s="151" t="s">
        <v>30</v>
      </c>
      <c r="J4" s="88">
        <f>8/960</f>
        <v>8.3333333333333332E-3</v>
      </c>
      <c r="K4" s="88">
        <f>59/960</f>
        <v>6.145833333333333E-2</v>
      </c>
      <c r="L4" s="88">
        <f>7/960</f>
        <v>7.2916666666666668E-3</v>
      </c>
      <c r="M4" s="88">
        <f>15/960</f>
        <v>1.5625E-2</v>
      </c>
      <c r="N4" s="88">
        <f>2/960</f>
        <v>2.0833333333333333E-3</v>
      </c>
      <c r="O4" s="88">
        <f>SUM(J4:N4)</f>
        <v>9.4791666666666677E-2</v>
      </c>
      <c r="Q4" s="152" t="s">
        <v>183</v>
      </c>
      <c r="R4" s="88">
        <v>3.5416666666666666E-2</v>
      </c>
      <c r="S4" s="88">
        <v>1.3541666666666667E-2</v>
      </c>
      <c r="T4" s="88">
        <v>1.1458333333333333E-2</v>
      </c>
      <c r="U4" s="88">
        <v>1.7708333333333333E-2</v>
      </c>
      <c r="V4" s="88">
        <v>3.7499999999999999E-2</v>
      </c>
      <c r="W4" s="88">
        <v>0.11562500000000001</v>
      </c>
    </row>
    <row r="5" spans="2:23" x14ac:dyDescent="0.25">
      <c r="B5" s="69" t="s">
        <v>64</v>
      </c>
      <c r="C5" s="88">
        <f>6/960</f>
        <v>6.2500000000000003E-3</v>
      </c>
      <c r="D5" s="88">
        <f>3/960</f>
        <v>3.1250000000000002E-3</v>
      </c>
      <c r="E5" s="88">
        <f>7/960</f>
        <v>7.2916666666666668E-3</v>
      </c>
      <c r="F5" s="88">
        <v>0</v>
      </c>
      <c r="G5" s="88">
        <v>0</v>
      </c>
      <c r="H5" s="88">
        <f t="shared" si="0"/>
        <v>1.666666666666667E-2</v>
      </c>
      <c r="I5" s="151" t="s">
        <v>37</v>
      </c>
      <c r="J5" s="88">
        <f>10/960</f>
        <v>1.0416666666666666E-2</v>
      </c>
      <c r="K5" s="88">
        <f>36/960</f>
        <v>3.7499999999999999E-2</v>
      </c>
      <c r="L5" s="88">
        <f>29/960</f>
        <v>3.0208333333333334E-2</v>
      </c>
      <c r="M5" s="88">
        <f>16/960</f>
        <v>1.6666666666666666E-2</v>
      </c>
      <c r="N5" s="88">
        <f>2/960</f>
        <v>2.0833333333333333E-3</v>
      </c>
      <c r="O5" s="88">
        <f>SUM(J5:N5)</f>
        <v>9.6875000000000003E-2</v>
      </c>
      <c r="Q5" s="151" t="s">
        <v>184</v>
      </c>
      <c r="R5" s="88">
        <v>2.7083333333333334E-2</v>
      </c>
      <c r="S5" s="88">
        <v>3.5416666666666666E-2</v>
      </c>
      <c r="T5" s="88">
        <v>1.6666666666666666E-2</v>
      </c>
      <c r="U5" s="88">
        <v>1.0416666666666666E-2</v>
      </c>
      <c r="V5" s="88">
        <v>1.6666666666666666E-2</v>
      </c>
      <c r="W5" s="88">
        <v>0.10625</v>
      </c>
    </row>
    <row r="6" spans="2:23" x14ac:dyDescent="0.25">
      <c r="B6" s="69" t="s">
        <v>102</v>
      </c>
      <c r="C6" s="88">
        <v>0</v>
      </c>
      <c r="D6" s="88">
        <f>3/960</f>
        <v>3.1250000000000002E-3</v>
      </c>
      <c r="E6" s="88">
        <f>10/960</f>
        <v>1.0416666666666666E-2</v>
      </c>
      <c r="F6" s="88">
        <v>0</v>
      </c>
      <c r="G6" s="88">
        <v>0</v>
      </c>
      <c r="H6" s="88">
        <f t="shared" si="0"/>
        <v>1.3541666666666667E-2</v>
      </c>
      <c r="I6" s="151" t="s">
        <v>13</v>
      </c>
      <c r="J6" s="88">
        <f>26/960</f>
        <v>2.7083333333333334E-2</v>
      </c>
      <c r="K6" s="88">
        <f>34/960</f>
        <v>3.5416666666666666E-2</v>
      </c>
      <c r="L6" s="88">
        <f>16/960</f>
        <v>1.6666666666666666E-2</v>
      </c>
      <c r="M6" s="88">
        <f>10/960</f>
        <v>1.0416666666666666E-2</v>
      </c>
      <c r="N6" s="88">
        <f>16/960</f>
        <v>1.6666666666666666E-2</v>
      </c>
      <c r="O6" s="88">
        <f>SUM(J6:N6)</f>
        <v>0.10625</v>
      </c>
      <c r="Q6" s="151" t="s">
        <v>185</v>
      </c>
      <c r="R6" s="88">
        <v>1.0416666666666666E-2</v>
      </c>
      <c r="S6" s="88">
        <v>3.7499999999999999E-2</v>
      </c>
      <c r="T6" s="88">
        <v>3.0208333333333334E-2</v>
      </c>
      <c r="U6" s="88">
        <v>1.6666666666666666E-2</v>
      </c>
      <c r="V6" s="88">
        <v>2.0833333333333333E-3</v>
      </c>
      <c r="W6" s="88">
        <v>9.6875000000000003E-2</v>
      </c>
    </row>
    <row r="7" spans="2:23" x14ac:dyDescent="0.25">
      <c r="B7" s="68" t="s">
        <v>113</v>
      </c>
      <c r="C7" s="88">
        <f>4/960</f>
        <v>4.1666666666666666E-3</v>
      </c>
      <c r="D7" s="88">
        <v>0</v>
      </c>
      <c r="E7" s="88">
        <f>13/960</f>
        <v>1.3541666666666667E-2</v>
      </c>
      <c r="F7" s="88">
        <v>0</v>
      </c>
      <c r="G7" s="88">
        <v>0</v>
      </c>
      <c r="H7" s="88">
        <f t="shared" si="0"/>
        <v>1.7708333333333333E-2</v>
      </c>
      <c r="I7" s="152" t="s">
        <v>178</v>
      </c>
      <c r="J7" s="88">
        <f>34/960</f>
        <v>3.5416666666666666E-2</v>
      </c>
      <c r="K7" s="88">
        <f>13/960</f>
        <v>1.3541666666666667E-2</v>
      </c>
      <c r="L7" s="88">
        <f>11/960</f>
        <v>1.1458333333333333E-2</v>
      </c>
      <c r="M7" s="88">
        <f>17/960</f>
        <v>1.7708333333333333E-2</v>
      </c>
      <c r="N7" s="88">
        <f>36/960</f>
        <v>3.7499999999999999E-2</v>
      </c>
      <c r="O7" s="88">
        <f>SUM(J7:N7)</f>
        <v>0.11562500000000001</v>
      </c>
      <c r="Q7" s="151" t="s">
        <v>186</v>
      </c>
      <c r="R7" s="88">
        <v>8.3333333333333332E-3</v>
      </c>
      <c r="S7" s="88">
        <v>6.145833333333333E-2</v>
      </c>
      <c r="T7" s="88">
        <v>7.2916666666666668E-3</v>
      </c>
      <c r="U7" s="88">
        <v>1.5625E-2</v>
      </c>
      <c r="V7" s="88">
        <v>2.0833333333333333E-3</v>
      </c>
      <c r="W7" s="88">
        <v>9.4791666666666677E-2</v>
      </c>
    </row>
    <row r="8" spans="2:23" x14ac:dyDescent="0.25">
      <c r="B8" s="69" t="s">
        <v>114</v>
      </c>
      <c r="C8" s="88">
        <v>0</v>
      </c>
      <c r="D8" s="88">
        <v>0</v>
      </c>
      <c r="E8" s="88">
        <f>13/960</f>
        <v>1.3541666666666667E-2</v>
      </c>
      <c r="F8" s="88">
        <v>0</v>
      </c>
      <c r="G8" s="88">
        <v>0</v>
      </c>
      <c r="H8" s="88">
        <f t="shared" si="0"/>
        <v>1.3541666666666667E-2</v>
      </c>
      <c r="I8" s="151" t="s">
        <v>18</v>
      </c>
      <c r="J8" s="88">
        <f>52/960</f>
        <v>5.4166666666666669E-2</v>
      </c>
      <c r="K8" s="88">
        <f>97/960</f>
        <v>0.10104166666666667</v>
      </c>
      <c r="L8" s="88">
        <f>19/960</f>
        <v>1.9791666666666666E-2</v>
      </c>
      <c r="M8" s="88">
        <f>13/960</f>
        <v>1.3541666666666667E-2</v>
      </c>
      <c r="N8" s="88">
        <f>32/960</f>
        <v>3.3333333333333333E-2</v>
      </c>
      <c r="O8" s="88">
        <f>SUM(J8:N8)</f>
        <v>0.22187499999999999</v>
      </c>
      <c r="Q8" s="68" t="s">
        <v>157</v>
      </c>
      <c r="R8" s="89">
        <v>0.12708333333333333</v>
      </c>
      <c r="S8" s="89">
        <v>0.12083333333333335</v>
      </c>
      <c r="T8" s="89">
        <v>0.15208333333333332</v>
      </c>
      <c r="U8" s="89">
        <v>3.7500000000000006E-2</v>
      </c>
      <c r="V8" s="89">
        <v>5.1041666666666659E-2</v>
      </c>
      <c r="W8" s="89">
        <v>0.48854166666666671</v>
      </c>
    </row>
    <row r="9" spans="2:23" x14ac:dyDescent="0.25">
      <c r="B9" s="68" t="s">
        <v>103</v>
      </c>
      <c r="C9" s="88">
        <f>7/960</f>
        <v>7.2916666666666668E-3</v>
      </c>
      <c r="D9" s="88">
        <f>1/960</f>
        <v>1.0416666666666667E-3</v>
      </c>
      <c r="E9" s="88">
        <f>21/960</f>
        <v>2.1874999999999999E-2</v>
      </c>
      <c r="F9" s="88">
        <f>4/960</f>
        <v>4.1666666666666666E-3</v>
      </c>
      <c r="G9" s="88">
        <f>12/960</f>
        <v>1.2500000000000001E-2</v>
      </c>
      <c r="H9" s="88">
        <f t="shared" si="0"/>
        <v>4.6875E-2</v>
      </c>
      <c r="I9" s="68" t="s">
        <v>157</v>
      </c>
      <c r="J9" s="89">
        <f t="shared" ref="J9:O9" si="1">SUM(C3:C10,C12,C16,C16:C23,C25:C33,C33)</f>
        <v>0.12708333333333333</v>
      </c>
      <c r="K9" s="89">
        <f t="shared" si="1"/>
        <v>0.12083333333333335</v>
      </c>
      <c r="L9" s="89">
        <f t="shared" si="1"/>
        <v>0.15208333333333332</v>
      </c>
      <c r="M9" s="89">
        <f t="shared" si="1"/>
        <v>3.7500000000000006E-2</v>
      </c>
      <c r="N9" s="89">
        <f t="shared" si="1"/>
        <v>5.1041666666666659E-2</v>
      </c>
      <c r="O9" s="89">
        <f t="shared" si="1"/>
        <v>0.48854166666666671</v>
      </c>
    </row>
    <row r="10" spans="2:23" x14ac:dyDescent="0.25">
      <c r="B10" s="68" t="s">
        <v>104</v>
      </c>
      <c r="C10" s="88">
        <v>0</v>
      </c>
      <c r="D10" s="88">
        <f>5/960</f>
        <v>5.208333333333333E-3</v>
      </c>
      <c r="E10" s="88">
        <v>0</v>
      </c>
      <c r="F10" s="88">
        <v>0</v>
      </c>
      <c r="G10" s="88">
        <v>0</v>
      </c>
      <c r="H10" s="88">
        <f t="shared" si="0"/>
        <v>5.208333333333333E-3</v>
      </c>
      <c r="I10" s="69"/>
      <c r="J10" s="88"/>
      <c r="K10" s="88"/>
      <c r="L10" s="88"/>
      <c r="M10" s="88"/>
      <c r="N10" s="88"/>
      <c r="O10" s="88"/>
    </row>
    <row r="11" spans="2:23" x14ac:dyDescent="0.25">
      <c r="B11" s="69" t="s">
        <v>37</v>
      </c>
      <c r="C11" s="88">
        <f>10/960</f>
        <v>1.0416666666666666E-2</v>
      </c>
      <c r="D11" s="88">
        <f>36/960</f>
        <v>3.7499999999999999E-2</v>
      </c>
      <c r="E11" s="88">
        <f>29/960</f>
        <v>3.0208333333333334E-2</v>
      </c>
      <c r="F11" s="88">
        <f>16/960</f>
        <v>1.6666666666666666E-2</v>
      </c>
      <c r="G11" s="88">
        <f>2/960</f>
        <v>2.0833333333333333E-3</v>
      </c>
      <c r="H11" s="88">
        <f t="shared" si="0"/>
        <v>9.6875000000000003E-2</v>
      </c>
      <c r="I11" s="69"/>
      <c r="J11" s="88"/>
      <c r="K11" s="88"/>
      <c r="L11" s="88"/>
      <c r="M11" s="88"/>
      <c r="N11" s="88"/>
      <c r="O11" s="88"/>
    </row>
    <row r="12" spans="2:23" x14ac:dyDescent="0.25">
      <c r="B12" s="69" t="s">
        <v>34</v>
      </c>
      <c r="C12" s="88">
        <f>1/960</f>
        <v>1.0416666666666667E-3</v>
      </c>
      <c r="D12" s="88">
        <f>2/960</f>
        <v>2.0833333333333333E-3</v>
      </c>
      <c r="E12" s="88">
        <v>0</v>
      </c>
      <c r="F12" s="88">
        <v>0</v>
      </c>
      <c r="G12" s="88">
        <v>0</v>
      </c>
      <c r="H12" s="88">
        <f t="shared" si="0"/>
        <v>3.1250000000000002E-3</v>
      </c>
    </row>
    <row r="13" spans="2:23" x14ac:dyDescent="0.25">
      <c r="B13" s="69" t="s">
        <v>18</v>
      </c>
      <c r="C13" s="88">
        <f>52/960</f>
        <v>5.4166666666666669E-2</v>
      </c>
      <c r="D13" s="88">
        <f>97/960</f>
        <v>0.10104166666666667</v>
      </c>
      <c r="E13" s="88">
        <f>19/960</f>
        <v>1.9791666666666666E-2</v>
      </c>
      <c r="F13" s="88">
        <f>13/960</f>
        <v>1.3541666666666667E-2</v>
      </c>
      <c r="G13" s="88">
        <f>32/960</f>
        <v>3.3333333333333333E-2</v>
      </c>
      <c r="H13" s="88">
        <f t="shared" si="0"/>
        <v>0.22187499999999999</v>
      </c>
    </row>
    <row r="14" spans="2:23" x14ac:dyDescent="0.25">
      <c r="B14" s="69" t="s">
        <v>30</v>
      </c>
      <c r="C14" s="88">
        <f>8/960</f>
        <v>8.3333333333333332E-3</v>
      </c>
      <c r="D14" s="88">
        <f>59/960</f>
        <v>6.145833333333333E-2</v>
      </c>
      <c r="E14" s="88">
        <f>7/960</f>
        <v>7.2916666666666668E-3</v>
      </c>
      <c r="F14" s="88">
        <f>15/960</f>
        <v>1.5625E-2</v>
      </c>
      <c r="G14" s="88">
        <f>2/960</f>
        <v>2.0833333333333333E-3</v>
      </c>
      <c r="H14" s="88">
        <f t="shared" si="0"/>
        <v>9.4791666666666677E-2</v>
      </c>
    </row>
    <row r="15" spans="2:23" x14ac:dyDescent="0.25">
      <c r="B15" s="68" t="s">
        <v>68</v>
      </c>
      <c r="C15" s="88">
        <f>34/960</f>
        <v>3.5416666666666666E-2</v>
      </c>
      <c r="D15" s="88">
        <f>13/960</f>
        <v>1.3541666666666667E-2</v>
      </c>
      <c r="E15" s="88">
        <f>11/960</f>
        <v>1.1458333333333333E-2</v>
      </c>
      <c r="F15" s="88">
        <f>17/960</f>
        <v>1.7708333333333333E-2</v>
      </c>
      <c r="G15" s="88">
        <f>36/960</f>
        <v>3.7499999999999999E-2</v>
      </c>
      <c r="H15" s="88">
        <f t="shared" si="0"/>
        <v>0.11562500000000001</v>
      </c>
    </row>
    <row r="16" spans="2:23" x14ac:dyDescent="0.25">
      <c r="B16" s="68" t="s">
        <v>115</v>
      </c>
      <c r="C16" s="88">
        <f>1/960</f>
        <v>1.0416666666666667E-3</v>
      </c>
      <c r="D16" s="88">
        <f>2/960</f>
        <v>2.0833333333333333E-3</v>
      </c>
      <c r="E16" s="88">
        <f>19/960</f>
        <v>1.9791666666666666E-2</v>
      </c>
      <c r="F16" s="88">
        <f>4/960</f>
        <v>4.1666666666666666E-3</v>
      </c>
      <c r="G16" s="88">
        <f>4/960</f>
        <v>4.1666666666666666E-3</v>
      </c>
      <c r="H16" s="88">
        <f t="shared" si="0"/>
        <v>3.1249999999999997E-2</v>
      </c>
    </row>
    <row r="17" spans="2:8" x14ac:dyDescent="0.25">
      <c r="B17" s="68" t="s">
        <v>116</v>
      </c>
      <c r="C17" s="88">
        <v>0</v>
      </c>
      <c r="D17" s="88">
        <f>5/960</f>
        <v>5.208333333333333E-3</v>
      </c>
      <c r="E17" s="88">
        <v>0</v>
      </c>
      <c r="F17" s="88">
        <v>0</v>
      </c>
      <c r="G17" s="88">
        <v>0</v>
      </c>
      <c r="H17" s="88">
        <f t="shared" si="0"/>
        <v>5.208333333333333E-3</v>
      </c>
    </row>
    <row r="18" spans="2:8" x14ac:dyDescent="0.25">
      <c r="B18" s="68" t="s">
        <v>117</v>
      </c>
      <c r="C18" s="88">
        <v>0</v>
      </c>
      <c r="D18" s="88">
        <f>1/960</f>
        <v>1.0416666666666667E-3</v>
      </c>
      <c r="E18" s="88">
        <v>0</v>
      </c>
      <c r="F18" s="88">
        <f>4/960</f>
        <v>4.1666666666666666E-3</v>
      </c>
      <c r="G18" s="88">
        <v>0</v>
      </c>
      <c r="H18" s="88">
        <f t="shared" si="0"/>
        <v>5.208333333333333E-3</v>
      </c>
    </row>
    <row r="19" spans="2:8" x14ac:dyDescent="0.25">
      <c r="B19" s="68" t="s">
        <v>118</v>
      </c>
      <c r="C19" s="88">
        <v>0</v>
      </c>
      <c r="D19" s="88">
        <f>2/960</f>
        <v>2.0833333333333333E-3</v>
      </c>
      <c r="E19" s="88">
        <v>0</v>
      </c>
      <c r="F19" s="88">
        <f>1/960</f>
        <v>1.0416666666666667E-3</v>
      </c>
      <c r="G19" s="88">
        <f>4/960</f>
        <v>4.1666666666666666E-3</v>
      </c>
      <c r="H19" s="88">
        <f t="shared" si="0"/>
        <v>7.2916666666666668E-3</v>
      </c>
    </row>
    <row r="20" spans="2:8" x14ac:dyDescent="0.25">
      <c r="B20" s="68" t="s">
        <v>119</v>
      </c>
      <c r="C20" s="88">
        <v>0</v>
      </c>
      <c r="D20" s="88">
        <f>4/960</f>
        <v>4.1666666666666666E-3</v>
      </c>
      <c r="E20" s="88">
        <v>0</v>
      </c>
      <c r="F20" s="88">
        <v>0</v>
      </c>
      <c r="G20" s="88">
        <f>1/960</f>
        <v>1.0416666666666667E-3</v>
      </c>
      <c r="H20" s="88">
        <f t="shared" si="0"/>
        <v>5.208333333333333E-3</v>
      </c>
    </row>
    <row r="21" spans="2:8" x14ac:dyDescent="0.25">
      <c r="B21" s="68" t="s">
        <v>120</v>
      </c>
      <c r="C21" s="88">
        <v>0</v>
      </c>
      <c r="D21" s="88">
        <f>1/960</f>
        <v>1.0416666666666667E-3</v>
      </c>
      <c r="E21" s="88">
        <v>0</v>
      </c>
      <c r="F21" s="88">
        <f>4/960</f>
        <v>4.1666666666666666E-3</v>
      </c>
      <c r="G21" s="88">
        <v>0</v>
      </c>
      <c r="H21" s="88">
        <f t="shared" si="0"/>
        <v>5.208333333333333E-3</v>
      </c>
    </row>
    <row r="22" spans="2:8" x14ac:dyDescent="0.25">
      <c r="B22" s="68" t="s">
        <v>121</v>
      </c>
      <c r="C22" s="88">
        <v>0</v>
      </c>
      <c r="D22" s="88">
        <f>13/960</f>
        <v>1.3541666666666667E-2</v>
      </c>
      <c r="E22" s="88">
        <v>0</v>
      </c>
      <c r="F22" s="88">
        <v>0</v>
      </c>
      <c r="G22" s="88">
        <v>0</v>
      </c>
      <c r="H22" s="88">
        <f t="shared" si="0"/>
        <v>1.3541666666666667E-2</v>
      </c>
    </row>
    <row r="23" spans="2:8" x14ac:dyDescent="0.25">
      <c r="B23" s="69" t="s">
        <v>55</v>
      </c>
      <c r="C23" s="88">
        <v>0</v>
      </c>
      <c r="D23" s="88">
        <f>3/960</f>
        <v>3.1250000000000002E-3</v>
      </c>
      <c r="E23" s="88">
        <f>2/960</f>
        <v>2.0833333333333333E-3</v>
      </c>
      <c r="F23" s="88">
        <v>0</v>
      </c>
      <c r="G23" s="88">
        <v>0</v>
      </c>
      <c r="H23" s="88">
        <f t="shared" si="0"/>
        <v>5.2083333333333339E-3</v>
      </c>
    </row>
    <row r="24" spans="2:8" x14ac:dyDescent="0.25">
      <c r="B24" s="69" t="s">
        <v>13</v>
      </c>
      <c r="C24" s="88">
        <f>26/960</f>
        <v>2.7083333333333334E-2</v>
      </c>
      <c r="D24" s="88">
        <f>34/960</f>
        <v>3.5416666666666666E-2</v>
      </c>
      <c r="E24" s="88">
        <f>16/960</f>
        <v>1.6666666666666666E-2</v>
      </c>
      <c r="F24" s="88">
        <f>10/960</f>
        <v>1.0416666666666666E-2</v>
      </c>
      <c r="G24" s="88">
        <f>16/960</f>
        <v>1.6666666666666666E-2</v>
      </c>
      <c r="H24" s="88">
        <f t="shared" si="0"/>
        <v>0.10625</v>
      </c>
    </row>
    <row r="25" spans="2:8" x14ac:dyDescent="0.25">
      <c r="B25" s="68" t="s">
        <v>122</v>
      </c>
      <c r="C25" s="88">
        <f>4/960</f>
        <v>4.1666666666666666E-3</v>
      </c>
      <c r="D25" s="88">
        <f>4/960</f>
        <v>4.1666666666666666E-3</v>
      </c>
      <c r="E25" s="88">
        <v>0</v>
      </c>
      <c r="F25" s="88">
        <v>0</v>
      </c>
      <c r="G25" s="88">
        <v>0</v>
      </c>
      <c r="H25" s="88">
        <f t="shared" si="0"/>
        <v>8.3333333333333332E-3</v>
      </c>
    </row>
    <row r="26" spans="2:8" x14ac:dyDescent="0.25">
      <c r="B26" s="70" t="s">
        <v>97</v>
      </c>
      <c r="C26" s="88">
        <f>2/960</f>
        <v>2.0833333333333333E-3</v>
      </c>
      <c r="D26" s="88">
        <v>0</v>
      </c>
      <c r="E26" s="88">
        <v>0</v>
      </c>
      <c r="F26" s="88">
        <v>0</v>
      </c>
      <c r="G26" s="88">
        <v>0</v>
      </c>
      <c r="H26" s="88">
        <f t="shared" si="0"/>
        <v>2.0833333333333333E-3</v>
      </c>
    </row>
    <row r="27" spans="2:8" x14ac:dyDescent="0.25">
      <c r="B27" s="69" t="s">
        <v>123</v>
      </c>
      <c r="C27" s="88">
        <v>0</v>
      </c>
      <c r="D27" s="88">
        <f>1/960</f>
        <v>1.0416666666666667E-3</v>
      </c>
      <c r="E27" s="88">
        <v>0</v>
      </c>
      <c r="F27" s="88">
        <v>0</v>
      </c>
      <c r="G27" s="88">
        <v>0</v>
      </c>
      <c r="H27" s="88">
        <f t="shared" si="0"/>
        <v>1.0416666666666667E-3</v>
      </c>
    </row>
    <row r="28" spans="2:8" x14ac:dyDescent="0.25">
      <c r="B28" s="69" t="s">
        <v>58</v>
      </c>
      <c r="C28" s="88">
        <v>0</v>
      </c>
      <c r="D28" s="88">
        <f>3/960</f>
        <v>3.1250000000000002E-3</v>
      </c>
      <c r="E28" s="88">
        <f>4/960</f>
        <v>4.1666666666666666E-3</v>
      </c>
      <c r="F28" s="88">
        <v>0</v>
      </c>
      <c r="G28" s="88">
        <v>0</v>
      </c>
      <c r="H28" s="88">
        <f t="shared" si="0"/>
        <v>7.2916666666666668E-3</v>
      </c>
    </row>
    <row r="29" spans="2:8" x14ac:dyDescent="0.25">
      <c r="B29" s="69" t="s">
        <v>69</v>
      </c>
      <c r="C29" s="88">
        <f>1/960</f>
        <v>1.0416666666666667E-3</v>
      </c>
      <c r="D29" s="88">
        <f>4/960</f>
        <v>4.1666666666666666E-3</v>
      </c>
      <c r="E29" s="88">
        <f>5/960</f>
        <v>5.208333333333333E-3</v>
      </c>
      <c r="F29" s="88">
        <v>0</v>
      </c>
      <c r="G29" s="88">
        <v>0</v>
      </c>
      <c r="H29" s="88">
        <f t="shared" si="0"/>
        <v>1.0416666666666666E-2</v>
      </c>
    </row>
    <row r="30" spans="2:8" x14ac:dyDescent="0.25">
      <c r="B30" s="69" t="s">
        <v>124</v>
      </c>
      <c r="C30" s="88">
        <f>1/960</f>
        <v>1.0416666666666667E-3</v>
      </c>
      <c r="D30" s="88">
        <v>0</v>
      </c>
      <c r="E30" s="88">
        <v>0</v>
      </c>
      <c r="F30" s="88">
        <f>2/960</f>
        <v>2.0833333333333333E-3</v>
      </c>
      <c r="G30" s="88">
        <v>0</v>
      </c>
      <c r="H30" s="88">
        <f t="shared" si="0"/>
        <v>3.1250000000000002E-3</v>
      </c>
    </row>
    <row r="31" spans="2:8" x14ac:dyDescent="0.25">
      <c r="B31" s="68" t="s">
        <v>125</v>
      </c>
      <c r="C31" s="88">
        <f>3/960</f>
        <v>3.1250000000000002E-3</v>
      </c>
      <c r="D31" s="88">
        <v>0</v>
      </c>
      <c r="E31" s="88">
        <v>0</v>
      </c>
      <c r="F31" s="88">
        <v>0</v>
      </c>
      <c r="G31" s="88">
        <v>0</v>
      </c>
      <c r="H31" s="88">
        <f t="shared" si="0"/>
        <v>3.1250000000000002E-3</v>
      </c>
    </row>
    <row r="32" spans="2:8" x14ac:dyDescent="0.25">
      <c r="B32" s="69" t="s">
        <v>60</v>
      </c>
      <c r="C32" s="88">
        <f>7/960</f>
        <v>7.2916666666666668E-3</v>
      </c>
      <c r="D32" s="88">
        <v>0</v>
      </c>
      <c r="E32" s="88">
        <f>12/960</f>
        <v>1.2500000000000001E-2</v>
      </c>
      <c r="F32" s="88">
        <f>9/960</f>
        <v>9.3749999999999997E-3</v>
      </c>
      <c r="G32" s="88">
        <f>3/960</f>
        <v>3.1250000000000002E-3</v>
      </c>
      <c r="H32" s="88">
        <f t="shared" si="0"/>
        <v>3.229166666666667E-2</v>
      </c>
    </row>
    <row r="33" spans="2:8" x14ac:dyDescent="0.25">
      <c r="B33" s="69" t="s">
        <v>126</v>
      </c>
      <c r="C33" s="88">
        <f>41/960</f>
        <v>4.2708333333333334E-2</v>
      </c>
      <c r="D33" s="88">
        <f>28/960</f>
        <v>2.9166666666666667E-2</v>
      </c>
      <c r="E33" s="88">
        <f>9/960</f>
        <v>9.3749999999999997E-3</v>
      </c>
      <c r="F33" s="88">
        <f>1/960</f>
        <v>1.0416666666666667E-3</v>
      </c>
      <c r="G33" s="88">
        <f>10/960</f>
        <v>1.0416666666666666E-2</v>
      </c>
      <c r="H33" s="88">
        <f t="shared" si="0"/>
        <v>9.2708333333333323E-2</v>
      </c>
    </row>
    <row r="34" spans="2:8" x14ac:dyDescent="0.25">
      <c r="H34" s="88">
        <f>SUM(H3:H33)</f>
        <v>1.0000000000000002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</vt:lpstr>
      <vt:lpstr>T2</vt:lpstr>
      <vt:lpstr>T3</vt:lpstr>
      <vt:lpstr>T4</vt:lpstr>
      <vt:lpstr>T5</vt:lpstr>
      <vt:lpstr>Ks famili</vt:lpstr>
      <vt:lpstr>Ks lifeform</vt:lpstr>
      <vt:lpstr>Indeks</vt:lpstr>
      <vt:lpstr>Kekayaan spesies</vt:lpstr>
      <vt:lpstr>1-5</vt:lpstr>
      <vt:lpstr>Ks Spesies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Siti Nurhaliza</dc:creator>
  <cp:lastModifiedBy>Siti Nurhaliza</cp:lastModifiedBy>
  <cp:lastPrinted>2019-06-30T12:59:46Z</cp:lastPrinted>
  <dcterms:created xsi:type="dcterms:W3CDTF">2019-06-20T12:23:47Z</dcterms:created>
  <dcterms:modified xsi:type="dcterms:W3CDTF">2019-09-02T17:55:59Z</dcterms:modified>
</cp:coreProperties>
</file>